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4357946e2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owth model" sheetId="1" r:id="R038dfc6b69794bb4"/>
    <x:sheet xmlns:r="http://schemas.openxmlformats.org/officeDocument/2006/relationships" name="Assumptions" sheetId="2" r:id="R680051286b9c47b6"/>
    <x:sheet xmlns:r="http://schemas.openxmlformats.org/officeDocument/2006/relationships" name="Outdoor rollout" sheetId="3" r:id="R27aee23902a940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&quot;$&quot;#,##0.0,,&quot;m&quot;;(&quot;$&quot;#,##0.0,,&quot;m&quot;);&quot;-&quot;"/>
    <x:numFmt numFmtId="201" formatCode="0.00&quot;x&quot;"/>
    <x:numFmt numFmtId="202" formatCode="#,##0;(#,##0);&quot;-&quot;"/>
    <x:numFmt numFmtId="203" formatCode="0.0"/>
    <x:numFmt numFmtId="204" formatCode="&quot;$&quot;0.000"/>
    <x:numFmt numFmtId="205" formatCode="0.0%;(0.0%);&quot;-&quot;"/>
    <x:numFmt numFmtId="206" formatCode="&quot;$&quot;#,##0"/>
    <x:numFmt numFmtId="207" formatCode="0.0,,&quot;m&quot;;(0.0,,&quot;m&quot;);&quot;-&quot;"/>
  </x:numFmts>
  <x:fonts count="14">
    <x:font>
      <x:sz val="11"/>
      <x:name val="Carlito"/>
    </x:font>
    <x:font>
      <x:sz val="10"/>
      <x:color rgb="FF20241E"/>
      <x:name val="Arial"/>
    </x:font>
    <x:font>
      <x:b/>
      <x:sz val="16"/>
      <x:color rgb="FFAF1527"/>
      <x:name val="Arial"/>
    </x:font>
    <x:font>
      <x:i/>
      <x:sz val="10"/>
      <x:color rgb="FF73766B"/>
      <x:name val="Arial"/>
    </x:font>
    <x:font>
      <x:b/>
      <x:sz val="10"/>
      <x:color rgb="FF1557A0"/>
      <x:name val="Arial"/>
    </x:font>
    <x:font>
      <x:sz val="10"/>
      <x:color rgb="FF287849"/>
      <x:name val="Arial"/>
    </x:font>
    <x:font>
      <x:sz val="10"/>
      <x:color rgb="FF1557A0"/>
      <x:name val="Arial"/>
    </x:font>
    <x:font>
      <x:b/>
      <x:sz val="10"/>
      <x:color rgb="FFFFFFFF"/>
      <x:name val="Arial"/>
    </x:font>
    <x:font>
      <x:b/>
      <x:sz val="10"/>
      <x:color rgb="FF20241E"/>
      <x:name val="Arial"/>
    </x:font>
    <x:font>
      <x:sz val="9"/>
      <x:color rgb="FF73766B"/>
      <x:name val="Arial"/>
    </x:font>
    <x:font>
      <x:i/>
      <x:sz val="9"/>
      <x:color rgb="FF73766B"/>
      <x:name val="Arial"/>
    </x:font>
    <x:font>
      <x:i/>
      <x:sz val="10"/>
      <x:color rgb="FF20241E"/>
      <x:name val="Arial"/>
    </x:font>
    <x:font>
      <x:b/>
      <x:sz val="10"/>
      <x:color rgb="FF287849"/>
      <x:name val="Arial"/>
    </x:font>
    <x:font>
      <x:b/>
      <x:sz val="16"/>
      <x:color rgb="FF20241E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BF"/>
      </x:patternFill>
    </x:fill>
    <x:fill>
      <x:patternFill patternType="solid">
        <x:fgColor rgb="FFF2EEDF"/>
      </x:patternFill>
    </x:fill>
    <x:fill>
      <x:patternFill patternType="solid">
        <x:fgColor rgb="FFAF1527"/>
      </x:patternFill>
    </x:fill>
    <x:fill>
      <x:patternFill patternType="solid">
        <x:fgColor rgb="FFF4F1E7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A8AC9B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B8BAAD"/>
      </x:top>
      <x:bottom/>
      <x:diagonal/>
    </x:border>
  </x:borders>
  <x:cellStyleXfs count="1">
    <x:xf numFmtId="0" fontId="0" fillId="0" borderId="0"/>
  </x:cellStyleXfs>
  <x:cellXfs count="7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3" xfId="0" applyNumberFormat="1" applyFont="1" applyFill="1" applyBorder="1" applyAlignment="1">
      <x:alignment vertical="center"/>
    </x:xf>
    <x:xf numFmtId="0" fontId="7" fillId="4" borderId="4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horizontal="center" vertical="center"/>
    </x:xf>
    <x:xf numFmtId="0" fontId="7" fillId="4" borderId="3" xfId="0" applyNumberFormat="1" applyFont="1" applyFill="1" applyBorder="1" applyAlignment="1">
      <x:alignment horizontal="center" vertical="center"/>
    </x:xf>
    <x:xf numFmtId="0" fontId="7" fillId="4" borderId="4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203" fontId="8" fillId="5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6" fillId="0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4" fontId="8" fillId="5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6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6" fontId="6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8" fillId="5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7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2" fillId="3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7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/>
    </x:xf>
    <x:xf numFmtId="205" fontId="11" fillId="0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207" fontId="1" fillId="0" borderId="5" xfId="0" applyNumberFormat="1" applyFont="1" applyFill="1" applyBorder="1" applyAlignment="1">
      <x:alignment vertical="center"/>
    </x:xf>
    <x:xf numFmtId="0" fontId="8" fillId="0" borderId="5" xfId="0" applyNumberFormat="1" applyFont="1" applyFill="1" applyBorder="1" applyAlignment="1">
      <x:alignment vertical="center"/>
    </x:xf>
    <x:xf numFmtId="207" fontId="8" fillId="0" borderId="5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200" fontId="8" fillId="0" borderId="5" xfId="0" applyNumberFormat="1" applyFont="1" applyFill="1" applyBorder="1" applyAlignment="1">
      <x:alignment vertical="center"/>
    </x:xf>
    <x:xf numFmtId="200" fontId="5" fillId="0" borderId="5" xfId="0" applyNumberFormat="1" applyFont="1" applyFill="1" applyBorder="1" applyAlignment="1">
      <x:alignment vertical="center"/>
    </x:xf>
    <x:xf numFmtId="200" fontId="12" fillId="0" borderId="5" xfId="0" applyNumberFormat="1" applyFont="1" applyFill="1" applyBorder="1" applyAlignment="1">
      <x:alignment vertical="center"/>
    </x:xf>
    <x:xf numFmtId="0" fontId="8" fillId="3" borderId="5" xfId="0" applyNumberFormat="1" applyFont="1" applyFill="1" applyBorder="1" applyAlignment="1">
      <x:alignment vertical="center"/>
    </x:xf>
    <x:xf numFmtId="200" fontId="8" fillId="3" borderId="5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 applyAlignment="1">
      <x:alignment vertical="center"/>
    </x:xf>
    <x:xf numFmtId="205" fontId="11" fillId="3" borderId="0" xfId="0" applyNumberFormat="1" applyFont="1" applyFill="1" applyBorder="1" applyAlignment="1">
      <x:alignment vertical="center"/>
    </x:xf>
    <x:xf numFmtId="200" fontId="13" fillId="3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202" fontId="8" fillId="0" borderId="0" xfId="0" applyNumberFormat="1" applyFont="1" applyFill="1" applyBorder="1" applyAlignment="1">
      <x:alignment vertical="center"/>
    </x:xf>
    <x:xf numFmtId="206" fontId="8" fillId="0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ont>
        <x:b/>
        <x:color rgb="FFB01D2B"/>
      </x:font>
      <x:fill>
        <x:patternFill patternType="solid">
          <x:bgColor rgb="FFFBE0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c966652c44e02" /><Relationship Type="http://schemas.openxmlformats.org/officeDocument/2006/relationships/theme" Target="/xl/theme/theme1.xml" Id="R979fb7264f43416b" /><Relationship Type="http://schemas.openxmlformats.org/officeDocument/2006/relationships/sharedStrings" Target="/xl/sharedStrings.xml" Id="R969c6c63b8af438e" /><Relationship Type="http://schemas.openxmlformats.org/officeDocument/2006/relationships/worksheet" Target="/xl/worksheets/sheet1.xml" Id="R038dfc6b69794bb4" /><Relationship Type="http://schemas.openxmlformats.org/officeDocument/2006/relationships/worksheet" Target="/xl/worksheets/sheet2.xml" Id="R680051286b9c47b6" /><Relationship Type="http://schemas.openxmlformats.org/officeDocument/2006/relationships/worksheet" Target="/xl/worksheets/sheet3.xml" Id="R27aee23902a940b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F1527"/>
  </x:sheetPr>
  <x:sheetViews>
    <x:sheetView showGridLines="0" workbookViewId="0">
      <x:pane xSplit="3" ySplit="18" topLeftCell="D19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2.5" hidden="0" customWidth="1"/>
    <x:col min="4" max="4" width="16.25" hidden="0" customWidth="1"/>
    <x:col min="5" max="5" width="16.25" hidden="0" customWidth="1"/>
    <x:col min="6" max="6" width="16.25" hidden="0" customWidth="1"/>
    <x:col min="7" max="7" width="16.25" hidden="0" customWidth="1"/>
    <x:col min="8" max="8" width="16.25" hidden="0" customWidth="1"/>
    <x:col min="9" max="9" width="3" hidden="0" customWidth="1"/>
    <x:col min="10" max="10" width="20" hidden="0" customWidth="1"/>
    <x:col min="11" max="11" width="20" hidden="0" customWidth="1"/>
    <x:col min="12" max="12" width="20" hidden="0" customWidth="1"/>
  </x:cols>
  <x:sheetData>
    <x:row r="1" ht="18.7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7" customHeight="1">
      <x:c r="A2" s="2"/>
      <x:c r="B2" s="2"/>
      <x:c r="C2" s="3" t="str">
        <x:v>JZK Cola / Path to US$25m EBITDA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18.75" customHeight="1">
      <x:c r="A3" s="2"/>
      <x:c r="B3" s="2"/>
      <x:c r="C3" s="5" t="str">
        <x:v>2027–2031 illustrative plan. All amounts USD; no sales history.</x:v>
      </x:c>
      <x:c r="D3" s="4"/>
      <x:c r="E3" s="4"/>
      <x:c r="F3" s="4"/>
      <x:c r="G3" s="4"/>
      <x:c r="H3" s="4"/>
      <x:c r="I3" s="2"/>
      <x:c r="J3" s="2"/>
      <x:c r="K3" s="2"/>
      <x:c r="L3" s="2"/>
    </x:row>
    <x:row r="4" ht="18.7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18.75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</x:row>
    <x:row r="6" ht="18.7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18.75" customHeight="1">
      <x:c r="A7" s="2"/>
      <x:c r="B7" s="2"/>
      <x:c r="C7" s="2" t="str">
        <x:v>Annual cans required at 2031 mix</x:v>
      </x:c>
      <x:c r="D7" s="42" t="n">
        <x:f>('Assumptions'!D7-H40)/((H38+H39)/H23)</x:f>
        <x:v>396624472.57383966</x:v>
      </x:c>
      <x:c r="E7" s="2"/>
      <x:c r="F7" s="2" t="str">
        <x:v>Launch sequence</x:v>
      </x:c>
      <x:c r="G7" s="2"/>
      <x:c r="H7" s="2"/>
      <x:c r="I7" s="2"/>
      <x:c r="J7" s="2"/>
      <x:c r="K7" s="2"/>
      <x:c r="L7" s="2"/>
    </x:row>
    <x:row r="8" ht="18.75" customHeight="1">
      <x:c r="A8" s="2"/>
      <x:c r="B8" s="2"/>
      <x:c r="C8" s="2" t="str">
        <x:v>Net sales at US$25m EBITDA target</x:v>
      </x:c>
      <x:c r="D8" s="10" t="n">
        <x:f>D7*H28/H23</x:f>
        <x:v>214177215.18987343</x:v>
      </x:c>
      <x:c r="E8" s="2"/>
      <x:c r="F8" s="2" t="str">
        <x:v>2027 / Pakistan</x:v>
      </x:c>
      <x:c r="G8" s="2"/>
      <x:c r="H8" s="2"/>
      <x:c r="I8" s="2"/>
      <x:c r="J8" s="2"/>
      <x:c r="K8" s="2"/>
      <x:c r="L8" s="2"/>
    </x:row>
    <x:row r="9" ht="18.75" customHeight="1">
      <x:c r="A9" s="2"/>
      <x:c r="B9" s="2"/>
      <x:c r="C9" s="12" t="str">
        <x:v>2031 plan EBITDA</x:v>
      </x:c>
      <x:c r="D9" s="66" t="n">
        <x:f>H41</x:f>
        <x:v>25324160</x:v>
      </x:c>
      <x:c r="E9" s="2"/>
      <x:c r="F9" s="2" t="str">
        <x:v>2028 / add UAE</x:v>
      </x:c>
      <x:c r="G9" s="2"/>
      <x:c r="H9" s="2"/>
      <x:c r="I9" s="2"/>
      <x:c r="J9" s="2"/>
      <x:c r="K9" s="2"/>
      <x:c r="L9" s="2"/>
    </x:row>
    <x:row r="10" ht="18.75" customHeight="1">
      <x:c r="A10" s="2"/>
      <x:c r="B10" s="2"/>
      <x:c r="C10" s="2" t="str">
        <x:v>Peak funding plus cash reserve</x:v>
      </x:c>
      <x:c r="D10" s="10" t="n">
        <x:f>MAX(D53:H53)</x:f>
        <x:v>33116686.26849315</x:v>
      </x:c>
      <x:c r="E10" s="2"/>
      <x:c r="F10" s="2" t="str">
        <x:v>2029 / pilot Europe</x:v>
      </x:c>
      <x:c r="G10" s="2"/>
      <x:c r="H10" s="2"/>
      <x:c r="I10" s="2"/>
      <x:c r="J10" s="2"/>
      <x:c r="K10" s="2"/>
      <x:c r="L10" s="2"/>
    </x:row>
    <x:row r="11" ht="18.75" customHeight="1">
      <x:c r="A11" s="2"/>
      <x:c r="B11" s="2"/>
      <x:c r="C11" s="2" t="str">
        <x:v>2031 plan annual cans</x:v>
      </x:c>
      <x:c r="D11" s="42" t="n">
        <x:f>H23</x:f>
        <x:v>399360000</x:v>
      </x:c>
      <x:c r="E11" s="2"/>
      <x:c r="F11" s="2"/>
      <x:c r="G11" s="2"/>
      <x:c r="H11" s="2"/>
      <x:c r="I11" s="2"/>
      <x:c r="J11" s="2"/>
      <x:c r="K11" s="2"/>
      <x:c r="L11" s="2"/>
    </x:row>
    <x:row r="12" ht="18.75" customHeight="1">
      <x:c r="A12" s="2"/>
      <x:c r="B12" s="2"/>
      <x:c r="C12" s="2" t="str">
        <x:v>2031 plan net sales</x:v>
      </x:c>
      <x:c r="D12" s="10" t="n">
        <x:f>H28</x:f>
        <x:v>215654400</x:v>
      </x:c>
      <x:c r="E12" s="2"/>
      <x:c r="F12" s="2" t="str">
        <x:v>Target reached in plan?</x:v>
      </x:c>
      <x:c r="G12" s="2"/>
      <x:c r="H12" s="47" t="str">
        <x:f>IF(H41&gt;=Assumptions!D7,"Yes","No")</x:f>
        <x:v>Yes</x:v>
      </x:c>
      <x:c r="I12" s="2"/>
      <x:c r="J12" s="2"/>
      <x:c r="K12" s="2"/>
      <x:c r="L12" s="2"/>
    </x:row>
    <x:row r="13" ht="18.7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18.7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18.75" customHeight="1">
      <x:c r="A15" s="2"/>
      <x:c r="B15" s="2"/>
      <x:c r="C15" s="48" t="str">
        <x:v>Funding excludes cash tax, financing costs and acquisitions. It is a lower-bound planning estimate.</x:v>
      </x:c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18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18.7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2.5" customHeight="1">
      <x:c r="A18" s="2"/>
      <x:c r="B18" s="2"/>
      <x:c r="C18" s="21" t="str">
        <x:v>Annual forecast</x:v>
      </x:c>
      <x:c r="D18" s="22" t="n">
        <x:v>2027</x:v>
      </x:c>
      <x:c r="E18" s="22" t="n">
        <x:v>2028</x:v>
      </x:c>
      <x:c r="F18" s="22" t="n">
        <x:v>2029</x:v>
      </x:c>
      <x:c r="G18" s="22" t="n">
        <x:v>2030</x:v>
      </x:c>
      <x:c r="H18" s="23" t="n">
        <x:v>2031</x:v>
      </x:c>
      <x:c r="I18" s="2"/>
      <x:c r="J18" s="2"/>
      <x:c r="K18" s="2"/>
      <x:c r="L18" s="2"/>
    </x:row>
    <x:row r="19" ht="18.7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18.75" customHeight="1">
      <x:c r="A20" s="2"/>
      <x:c r="B20" s="2"/>
      <x:c r="C20" s="2" t="str">
        <x:v>Pakistan / cans sold</x:v>
      </x:c>
      <x:c r="D20" s="50" t="n">
        <x:f>IF(COUNT(Assumptions!D26,Assumptions!D27,Assumptions!D29)=3,Assumptions!D26*Assumptions!D27*Assumptions!D29,NA())</x:f>
        <x:v>9360000</x:v>
      </x:c>
      <x:c r="E20" s="50" t="n">
        <x:f>IF(COUNT(Assumptions!E26,Assumptions!E27,Assumptions!E29)=3,Assumptions!E26*Assumptions!E27*Assumptions!E29,NA())</x:f>
        <x:v>43680000</x:v>
      </x:c>
      <x:c r="F20" s="50" t="n">
        <x:f>IF(COUNT(Assumptions!F26,Assumptions!F27,Assumptions!F29)=3,Assumptions!F26*Assumptions!F27*Assumptions!F29,NA())</x:f>
        <x:v>102960000</x:v>
      </x:c>
      <x:c r="G20" s="50" t="n">
        <x:f>IF(COUNT(Assumptions!G26,Assumptions!G27,Assumptions!G29)=3,Assumptions!G26*Assumptions!G27*Assumptions!G29,NA())</x:f>
        <x:v>174720000</x:v>
      </x:c>
      <x:c r="H20" s="50" t="n">
        <x:f>IF(COUNT(Assumptions!H26,Assumptions!H27,Assumptions!H29)=3,Assumptions!H26*Assumptions!H27*Assumptions!H29,NA())</x:f>
        <x:v>249600000</x:v>
      </x:c>
      <x:c r="I20" s="2"/>
      <x:c r="J20" s="2"/>
      <x:c r="K20" s="2"/>
      <x:c r="L20" s="2"/>
    </x:row>
    <x:row r="21" ht="18.75" customHeight="1">
      <x:c r="A21" s="2"/>
      <x:c r="B21" s="2"/>
      <x:c r="C21" s="2" t="str">
        <x:v>UAE / cans sold</x:v>
      </x:c>
      <x:c r="D21" s="50" t="n">
        <x:f>IF(COUNT(Assumptions!D26,Assumptions!D30,Assumptions!D32)=3,Assumptions!D26*Assumptions!D30*Assumptions!D32,NA())</x:f>
        <x:v>0</x:v>
      </x:c>
      <x:c r="E21" s="50" t="n">
        <x:f>IF(COUNT(Assumptions!E26,Assumptions!E30,Assumptions!E32)=3,Assumptions!E26*Assumptions!E30*Assumptions!E32,NA())</x:f>
        <x:v>4680000</x:v>
      </x:c>
      <x:c r="F21" s="50" t="n">
        <x:f>IF(COUNT(Assumptions!F26,Assumptions!F30,Assumptions!F32)=3,Assumptions!F26*Assumptions!F30*Assumptions!F32,NA())</x:f>
        <x:v>19968000</x:v>
      </x:c>
      <x:c r="G21" s="50" t="n">
        <x:f>IF(COUNT(Assumptions!G26,Assumptions!G30,Assumptions!G32)=3,Assumptions!G26*Assumptions!G30*Assumptions!G32,NA())</x:f>
        <x:v>45864000</x:v>
      </x:c>
      <x:c r="H21" s="50" t="n">
        <x:f>IF(COUNT(Assumptions!H26,Assumptions!H30,Assumptions!H32)=3,Assumptions!H26*Assumptions!H30*Assumptions!H32,NA())</x:f>
        <x:v>74880000</x:v>
      </x:c>
      <x:c r="I21" s="2"/>
      <x:c r="J21" s="2"/>
      <x:c r="K21" s="2"/>
      <x:c r="L21" s="2"/>
    </x:row>
    <x:row r="22" ht="18.75" customHeight="1">
      <x:c r="A22" s="2"/>
      <x:c r="B22" s="2"/>
      <x:c r="C22" s="2" t="str">
        <x:v>Europe / cans sold</x:v>
      </x:c>
      <x:c r="D22" s="50" t="n">
        <x:f>IF(COUNT(Assumptions!D26,Assumptions!D33,Assumptions!D35)=3,Assumptions!D26*Assumptions!D33*Assumptions!D35,NA())</x:f>
        <x:v>0</x:v>
      </x:c>
      <x:c r="E22" s="50" t="n">
        <x:f>IF(COUNT(Assumptions!E26,Assumptions!E33,Assumptions!E35)=3,Assumptions!E26*Assumptions!E33*Assumptions!E35,NA())</x:f>
        <x:v>0</x:v>
      </x:c>
      <x:c r="F22" s="50" t="n">
        <x:f>IF(COUNT(Assumptions!F26,Assumptions!F33,Assumptions!F35)=3,Assumptions!F26*Assumptions!F33*Assumptions!F35,NA())</x:f>
        <x:v>4680000</x:v>
      </x:c>
      <x:c r="G22" s="50" t="n">
        <x:f>IF(COUNT(Assumptions!G26,Assumptions!G33,Assumptions!G35)=3,Assumptions!G26*Assumptions!G33*Assumptions!G35,NA())</x:f>
        <x:v>29952000</x:v>
      </x:c>
      <x:c r="H22" s="50" t="n">
        <x:f>IF(COUNT(Assumptions!H26,Assumptions!H33,Assumptions!H35)=3,Assumptions!H26*Assumptions!H33*Assumptions!H35,NA())</x:f>
        <x:v>74880000</x:v>
      </x:c>
      <x:c r="I22" s="2"/>
      <x:c r="J22" s="2"/>
      <x:c r="K22" s="2"/>
      <x:c r="L22" s="2"/>
    </x:row>
    <x:row r="23" ht="18.75" customHeight="1">
      <x:c r="A23" s="2"/>
      <x:c r="B23" s="2"/>
      <x:c r="C23" s="56" t="str">
        <x:v>Total cans sold</x:v>
      </x:c>
      <x:c r="D23" s="57" t="n">
        <x:f>SUM(D20:D22)</x:f>
        <x:v>9360000</x:v>
      </x:c>
      <x:c r="E23" s="57" t="n">
        <x:f>SUM(E20:E22)</x:f>
        <x:v>48360000</x:v>
      </x:c>
      <x:c r="F23" s="57" t="n">
        <x:f>SUM(F20:F22)</x:f>
        <x:v>127608000</x:v>
      </x:c>
      <x:c r="G23" s="57" t="n">
        <x:f>SUM(G20:G22)</x:f>
        <x:v>250536000</x:v>
      </x:c>
      <x:c r="H23" s="57" t="n">
        <x:f>SUM(H20:H22)</x:f>
        <x:v>399360000</x:v>
      </x:c>
      <x:c r="I23" s="2"/>
      <x:c r="J23" s="2"/>
      <x:c r="K23" s="2"/>
      <x:c r="L23" s="2"/>
    </x:row>
    <x:row r="24" ht="18.75" customHeight="1">
      <x:c r="A24" s="2"/>
      <x:c r="B24" s="2"/>
      <x:c r="C24" s="2"/>
      <x:c r="D24" s="10"/>
      <x:c r="E24" s="10"/>
      <x:c r="F24" s="10"/>
      <x:c r="G24" s="10"/>
      <x:c r="H24" s="10"/>
      <x:c r="I24" s="2"/>
      <x:c r="J24" s="2"/>
      <x:c r="K24" s="2"/>
      <x:c r="L24" s="2"/>
    </x:row>
    <x:row r="25" ht="18.75" customHeight="1">
      <x:c r="A25" s="2"/>
      <x:c r="B25" s="2"/>
      <x:c r="C25" s="2" t="str">
        <x:v>Pakistan / net revenue</x:v>
      </x:c>
      <x:c r="D25" s="49" t="n">
        <x:f>D20*Assumptions!D38</x:f>
        <x:v>3650400</x:v>
      </x:c>
      <x:c r="E25" s="49" t="n">
        <x:f>E20*Assumptions!E38</x:f>
        <x:v>17035200</x:v>
      </x:c>
      <x:c r="F25" s="49" t="n">
        <x:f>F20*Assumptions!F38</x:f>
        <x:v>40154400</x:v>
      </x:c>
      <x:c r="G25" s="49" t="n">
        <x:f>G20*Assumptions!G38</x:f>
        <x:v>68140800</x:v>
      </x:c>
      <x:c r="H25" s="49" t="n">
        <x:f>H20*Assumptions!H38</x:f>
        <x:v>97344000</x:v>
      </x:c>
      <x:c r="I25" s="2"/>
      <x:c r="J25" s="2"/>
      <x:c r="K25" s="2"/>
      <x:c r="L25" s="2"/>
    </x:row>
    <x:row r="26" ht="18.75" customHeight="1">
      <x:c r="A26" s="2"/>
      <x:c r="B26" s="2"/>
      <x:c r="C26" s="2" t="str">
        <x:v>UAE / net revenue</x:v>
      </x:c>
      <x:c r="D26" s="49" t="n">
        <x:f>D21*Assumptions!D40</x:f>
        <x:v>0</x:v>
      </x:c>
      <x:c r="E26" s="49" t="n">
        <x:f>E21*Assumptions!E40</x:f>
        <x:v>3744000</x:v>
      </x:c>
      <x:c r="F26" s="49" t="n">
        <x:f>F21*Assumptions!F40</x:f>
        <x:v>15974400</x:v>
      </x:c>
      <x:c r="G26" s="49" t="n">
        <x:f>G21*Assumptions!G40</x:f>
        <x:v>36691200</x:v>
      </x:c>
      <x:c r="H26" s="49" t="n">
        <x:f>H21*Assumptions!H40</x:f>
        <x:v>59904000</x:v>
      </x:c>
      <x:c r="I26" s="2"/>
      <x:c r="J26" s="2"/>
      <x:c r="K26" s="2"/>
      <x:c r="L26" s="2"/>
    </x:row>
    <x:row r="27" ht="18.75" customHeight="1">
      <x:c r="A27" s="2"/>
      <x:c r="B27" s="2"/>
      <x:c r="C27" s="2" t="str">
        <x:v>Europe / net revenue</x:v>
      </x:c>
      <x:c r="D27" s="49" t="n">
        <x:f>D22*Assumptions!D42</x:f>
        <x:v>0</x:v>
      </x:c>
      <x:c r="E27" s="49" t="n">
        <x:f>E22*Assumptions!E42</x:f>
        <x:v>0</x:v>
      </x:c>
      <x:c r="F27" s="49" t="n">
        <x:f>F22*Assumptions!F42</x:f>
        <x:v>3650400</x:v>
      </x:c>
      <x:c r="G27" s="49" t="n">
        <x:f>G22*Assumptions!G42</x:f>
        <x:v>23362560</x:v>
      </x:c>
      <x:c r="H27" s="49" t="n">
        <x:f>H22*Assumptions!H42</x:f>
        <x:v>58406400</x:v>
      </x:c>
      <x:c r="I27" s="2"/>
      <x:c r="J27" s="2"/>
      <x:c r="K27" s="2"/>
      <x:c r="L27" s="2"/>
    </x:row>
    <x:row r="28" ht="18.75" customHeight="1">
      <x:c r="A28" s="2"/>
      <x:c r="B28" s="2"/>
      <x:c r="C28" s="56" t="str">
        <x:v>Total net revenue</x:v>
      </x:c>
      <x:c r="D28" s="59" t="n">
        <x:f>SUM(D25:D27)</x:f>
        <x:v>3650400</x:v>
      </x:c>
      <x:c r="E28" s="59" t="n">
        <x:f>SUM(E25:E27)</x:f>
        <x:v>20779200</x:v>
      </x:c>
      <x:c r="F28" s="59" t="n">
        <x:f>SUM(F25:F27)</x:f>
        <x:v>59779200</x:v>
      </x:c>
      <x:c r="G28" s="59" t="n">
        <x:f>SUM(G25:G27)</x:f>
        <x:v>128194560</x:v>
      </x:c>
      <x:c r="H28" s="59" t="n">
        <x:f>SUM(H25:H27)</x:f>
        <x:v>215654400</x:v>
      </x:c>
      <x:c r="I28" s="2"/>
      <x:c r="J28" s="2"/>
      <x:c r="K28" s="2"/>
      <x:c r="L28" s="2"/>
    </x:row>
    <x:row r="29" ht="18.75" customHeight="1">
      <x:c r="A29" s="2"/>
      <x:c r="B29" s="2"/>
      <x:c r="C29" s="2"/>
      <x:c r="D29" s="10"/>
      <x:c r="E29" s="10"/>
      <x:c r="F29" s="10"/>
      <x:c r="G29" s="10"/>
      <x:c r="H29" s="10"/>
      <x:c r="I29" s="2"/>
      <x:c r="J29" s="2"/>
      <x:c r="K29" s="2"/>
      <x:c r="L29" s="2"/>
    </x:row>
    <x:row r="30" ht="18.75" customHeight="1">
      <x:c r="A30" s="2"/>
      <x:c r="B30" s="2"/>
      <x:c r="C30" s="2" t="str">
        <x:v>Pakistan / landed product costs</x:v>
      </x:c>
      <x:c r="D30" s="49" t="n">
        <x:f>-D20*Assumptions!D45</x:f>
        <x:v>-2246400</x:v>
      </x:c>
      <x:c r="E30" s="49" t="n">
        <x:f>-E20*Assumptions!E45</x:f>
        <x:v>-10483200</x:v>
      </x:c>
      <x:c r="F30" s="49" t="n">
        <x:f>-F20*Assumptions!F45</x:f>
        <x:v>-24710400</x:v>
      </x:c>
      <x:c r="G30" s="49" t="n">
        <x:f>-G20*Assumptions!G45</x:f>
        <x:v>-41932800</x:v>
      </x:c>
      <x:c r="H30" s="49" t="n">
        <x:f>-H20*Assumptions!H45</x:f>
        <x:v>-59904000</x:v>
      </x:c>
      <x:c r="I30" s="2"/>
      <x:c r="J30" s="2"/>
      <x:c r="K30" s="2"/>
      <x:c r="L30" s="2"/>
    </x:row>
    <x:row r="31" ht="18.75" customHeight="1">
      <x:c r="A31" s="2"/>
      <x:c r="B31" s="2"/>
      <x:c r="C31" s="2" t="str">
        <x:v>UAE / landed product costs</x:v>
      </x:c>
      <x:c r="D31" s="49" t="n">
        <x:f>-D21*Assumptions!D47</x:f>
        <x:v>0</x:v>
      </x:c>
      <x:c r="E31" s="49" t="n">
        <x:f>-E21*Assumptions!E47</x:f>
        <x:v>-1778400</x:v>
      </x:c>
      <x:c r="F31" s="49" t="n">
        <x:f>-F21*Assumptions!F47</x:f>
        <x:v>-7587840</x:v>
      </x:c>
      <x:c r="G31" s="49" t="n">
        <x:f>-G21*Assumptions!G47</x:f>
        <x:v>-17428320</x:v>
      </x:c>
      <x:c r="H31" s="49" t="n">
        <x:f>-H21*Assumptions!H47</x:f>
        <x:v>-28454400</x:v>
      </x:c>
      <x:c r="I31" s="2"/>
      <x:c r="J31" s="2"/>
      <x:c r="K31" s="2"/>
      <x:c r="L31" s="2"/>
    </x:row>
    <x:row r="32" ht="18.75" customHeight="1">
      <x:c r="A32" s="2"/>
      <x:c r="B32" s="2"/>
      <x:c r="C32" s="2" t="str">
        <x:v>Europe / landed product costs</x:v>
      </x:c>
      <x:c r="D32" s="49" t="n">
        <x:f>-D22*Assumptions!D49</x:f>
        <x:v>0</x:v>
      </x:c>
      <x:c r="E32" s="49" t="n">
        <x:f>-E22*Assumptions!E49</x:f>
        <x:v>0</x:v>
      </x:c>
      <x:c r="F32" s="49" t="n">
        <x:f>-F22*Assumptions!F49</x:f>
        <x:v>-2059200</x:v>
      </x:c>
      <x:c r="G32" s="49" t="n">
        <x:f>-G22*Assumptions!G49</x:f>
        <x:v>-13178880</x:v>
      </x:c>
      <x:c r="H32" s="49" t="n">
        <x:f>-H22*Assumptions!H49</x:f>
        <x:v>-32947200</x:v>
      </x:c>
      <x:c r="I32" s="2"/>
      <x:c r="J32" s="2"/>
      <x:c r="K32" s="2"/>
      <x:c r="L32" s="2"/>
    </x:row>
    <x:row r="33" ht="18.75" customHeight="1">
      <x:c r="A33" s="2"/>
      <x:c r="B33" s="2"/>
      <x:c r="C33" s="56" t="str">
        <x:v>Total landed product costs</x:v>
      </x:c>
      <x:c r="D33" s="59" t="n">
        <x:f>SUM(D30:D32)</x:f>
        <x:v>-2246400</x:v>
      </x:c>
      <x:c r="E33" s="59" t="n">
        <x:f>SUM(E30:E32)</x:f>
        <x:v>-12261600</x:v>
      </x:c>
      <x:c r="F33" s="59" t="n">
        <x:f>SUM(F30:F32)</x:f>
        <x:v>-34357440</x:v>
      </x:c>
      <x:c r="G33" s="59" t="n">
        <x:f>SUM(G30:G32)</x:f>
        <x:v>-72540000</x:v>
      </x:c>
      <x:c r="H33" s="59" t="n">
        <x:f>SUM(H30:H32)</x:f>
        <x:v>-121305600</x:v>
      </x:c>
      <x:c r="I33" s="2"/>
      <x:c r="J33" s="2"/>
      <x:c r="K33" s="2"/>
      <x:c r="L33" s="2"/>
    </x:row>
    <x:row r="34" ht="18.75" customHeight="1">
      <x:c r="A34" s="2"/>
      <x:c r="B34" s="2"/>
      <x:c r="C34" s="56" t="str">
        <x:v>Gross profit</x:v>
      </x:c>
      <x:c r="D34" s="59" t="n">
        <x:f>SUM(D28,D33)</x:f>
        <x:v>1404000</x:v>
      </x:c>
      <x:c r="E34" s="59" t="n">
        <x:f>SUM(E28,E33)</x:f>
        <x:v>8517600</x:v>
      </x:c>
      <x:c r="F34" s="59" t="n">
        <x:f>SUM(F28,F33)</x:f>
        <x:v>25421760</x:v>
      </x:c>
      <x:c r="G34" s="59" t="n">
        <x:f>SUM(G28,G33)</x:f>
        <x:v>55654560</x:v>
      </x:c>
      <x:c r="H34" s="59" t="n">
        <x:f>SUM(H28,H33)</x:f>
        <x:v>94348800</x:v>
      </x:c>
      <x:c r="I34" s="2"/>
      <x:c r="J34" s="2"/>
      <x:c r="K34" s="2"/>
      <x:c r="L34" s="2"/>
    </x:row>
    <x:row r="35" ht="18.75" customHeight="1">
      <x:c r="A35" s="2"/>
      <x:c r="B35" s="2"/>
      <x:c r="C35" s="52" t="str">
        <x:v>Gross margin</x:v>
      </x:c>
      <x:c r="D35" s="53" t="n">
        <x:f>D34/D28</x:f>
        <x:v>0.38461538461538464</x:v>
      </x:c>
      <x:c r="E35" s="53" t="n">
        <x:f>E34/E28</x:f>
        <x:v>0.4099099099099099</x:v>
      </x:c>
      <x:c r="F35" s="53" t="n">
        <x:f>F34/F28</x:f>
        <x:v>0.4252609603340292</x:v>
      </x:c>
      <x:c r="G35" s="53" t="n">
        <x:f>G34/G28</x:f>
        <x:v>0.4341413551401869</x:v>
      </x:c>
      <x:c r="H35" s="53" t="n">
        <x:f>H34/H28</x:f>
        <x:v>0.4375</x:v>
      </x:c>
      <x:c r="I35" s="2"/>
      <x:c r="J35" s="2"/>
      <x:c r="K35" s="2"/>
      <x:c r="L35" s="2"/>
    </x:row>
    <x:row r="36" ht="18.75" customHeight="1">
      <x:c r="A36" s="2"/>
      <x:c r="B36" s="2"/>
      <x:c r="C36" s="2"/>
      <x:c r="D36" s="10"/>
      <x:c r="E36" s="10"/>
      <x:c r="F36" s="10"/>
      <x:c r="G36" s="10"/>
      <x:c r="H36" s="10"/>
      <x:c r="I36" s="2"/>
      <x:c r="J36" s="2"/>
      <x:c r="K36" s="2"/>
      <x:c r="L36" s="2"/>
    </x:row>
    <x:row r="37" ht="18.75" customHeight="1">
      <x:c r="A37" s="2"/>
      <x:c r="B37" s="2"/>
      <x:c r="C37" s="2" t="str">
        <x:v>Variable logistics, selling and returns</x:v>
      </x:c>
      <x:c r="D37" s="49" t="n">
        <x:f>IF(COUNT(Assumptions!D51:D53)=3,-SUMPRODUCT(D20:D22,Assumptions!D51:D53),NA())</x:f>
        <x:v>-421200</x:v>
      </x:c>
      <x:c r="E37" s="49" t="n">
        <x:f>IF(COUNT(Assumptions!E51:E53)=3,-SUMPRODUCT(E20:E22,Assumptions!E51:E53),NA())</x:f>
        <x:v>-2386800</x:v>
      </x:c>
      <x:c r="F37" s="49" t="n">
        <x:f>IF(COUNT(Assumptions!F51:F53)=3,-SUMPRODUCT(F20:F22,Assumptions!F51:F53),NA())</x:f>
        <x:v>-6898320</x:v>
      </x:c>
      <x:c r="G37" s="49" t="n">
        <x:f>IF(COUNT(Assumptions!G51:G53)=3,-SUMPRODUCT(G20:G22,Assumptions!G51:G53),NA())</x:f>
        <x:v>-14985360</x:v>
      </x:c>
      <x:c r="H37" s="49" t="n">
        <x:f>IF(COUNT(Assumptions!H51:H53)=3,-SUMPRODUCT(H20:H22,Assumptions!H51:H53),NA())</x:f>
        <x:v>-25459200</x:v>
      </x:c>
      <x:c r="I37" s="2"/>
      <x:c r="J37" s="2"/>
      <x:c r="K37" s="2"/>
      <x:c r="L37" s="2"/>
    </x:row>
    <x:row r="38" ht="18.75" customHeight="1">
      <x:c r="A38" s="2"/>
      <x:c r="B38" s="2"/>
      <x:c r="C38" s="56" t="str">
        <x:v>Contribution before brand and fixed costs</x:v>
      </x:c>
      <x:c r="D38" s="59" t="n">
        <x:f>SUM(D34,D37)</x:f>
        <x:v>982800</x:v>
      </x:c>
      <x:c r="E38" s="59" t="n">
        <x:f>SUM(E34,E37)</x:f>
        <x:v>6130800</x:v>
      </x:c>
      <x:c r="F38" s="59" t="n">
        <x:f>SUM(F34,F37)</x:f>
        <x:v>18523440</x:v>
      </x:c>
      <x:c r="G38" s="59" t="n">
        <x:f>SUM(G34,G37)</x:f>
        <x:v>40669200</x:v>
      </x:c>
      <x:c r="H38" s="59" t="n">
        <x:f>SUM(H34,H37)</x:f>
        <x:v>68889600</x:v>
      </x:c>
      <x:c r="I38" s="2"/>
      <x:c r="J38" s="2"/>
      <x:c r="K38" s="2"/>
      <x:c r="L38" s="2"/>
    </x:row>
    <x:row r="39" ht="18.75" customHeight="1">
      <x:c r="A39" s="2"/>
      <x:c r="B39" s="2"/>
      <x:c r="C39" s="2" t="str">
        <x:v>Brand marketing and loyalty expense</x:v>
      </x:c>
      <x:c r="D39" s="49" t="n">
        <x:f>IF(ISNUMBER(Assumptions!D55),-D28*Assumptions!D55,NA())</x:f>
        <x:v>-912600</x:v>
      </x:c>
      <x:c r="E39" s="49" t="n">
        <x:f>IF(ISNUMBER(Assumptions!E55),-E28*Assumptions!E55,NA())</x:f>
        <x:v>-3740256</x:v>
      </x:c>
      <x:c r="F39" s="49" t="n">
        <x:f>IF(ISNUMBER(Assumptions!F55),-F28*Assumptions!F55,NA())</x:f>
        <x:v>-8369088.000000001</x:v>
      </x:c>
      <x:c r="G39" s="49" t="n">
        <x:f>IF(ISNUMBER(Assumptions!G55),-G28*Assumptions!G55,NA())</x:f>
        <x:v>-15383347.2</x:v>
      </x:c>
      <x:c r="H39" s="49" t="n">
        <x:f>IF(ISNUMBER(Assumptions!H55),-H28*Assumptions!H55,NA())</x:f>
        <x:v>-21565440</x:v>
      </x:c>
      <x:c r="I39" s="2"/>
      <x:c r="J39" s="2"/>
      <x:c r="K39" s="2"/>
      <x:c r="L39" s="2"/>
    </x:row>
    <x:row r="40" ht="18.75" customHeight="1">
      <x:c r="A40" s="2"/>
      <x:c r="B40" s="2"/>
      <x:c r="C40" s="2" t="str">
        <x:v>Fixed operating costs</x:v>
      </x:c>
      <x:c r="D40" s="49" t="n">
        <x:f>-Assumptions!D60</x:f>
        <x:v>-2000000</x:v>
      </x:c>
      <x:c r="E40" s="49" t="n">
        <x:f>-Assumptions!E60</x:f>
        <x:v>-5000000</x:v>
      </x:c>
      <x:c r="F40" s="49" t="n">
        <x:f>-Assumptions!F60</x:f>
        <x:v>-10000000</x:v>
      </x:c>
      <x:c r="G40" s="49" t="n">
        <x:f>-Assumptions!G60</x:f>
        <x:v>-16000000</x:v>
      </x:c>
      <x:c r="H40" s="49" t="n">
        <x:f>-Assumptions!H60</x:f>
        <x:v>-22000000</x:v>
      </x:c>
      <x:c r="I40" s="2"/>
      <x:c r="J40" s="2"/>
      <x:c r="K40" s="2"/>
      <x:c r="L40" s="2"/>
    </x:row>
    <x:row r="41" ht="18.75" customHeight="1">
      <x:c r="A41" s="2"/>
      <x:c r="B41" s="2"/>
      <x:c r="C41" s="62" t="str">
        <x:v>EBITDA</x:v>
      </x:c>
      <x:c r="D41" s="63" t="n">
        <x:f>SUM(D38:D40)</x:f>
        <x:v>-1929800</x:v>
      </x:c>
      <x:c r="E41" s="63" t="n">
        <x:f>SUM(E38:E40)</x:f>
        <x:v>-2609456</x:v>
      </x:c>
      <x:c r="F41" s="63" t="n">
        <x:f>SUM(F38:F40)</x:f>
        <x:v>154352</x:v>
      </x:c>
      <x:c r="G41" s="63" t="n">
        <x:f>SUM(G38:G40)</x:f>
        <x:v>9285852.8</x:v>
      </x:c>
      <x:c r="H41" s="63" t="n">
        <x:f>SUM(H38:H40)</x:f>
        <x:v>25324160</x:v>
      </x:c>
      <x:c r="I41" s="2"/>
      <x:c r="J41" s="2"/>
      <x:c r="K41" s="2"/>
      <x:c r="L41" s="2"/>
    </x:row>
    <x:row r="42" ht="18.75" customHeight="1">
      <x:c r="A42" s="2"/>
      <x:c r="B42" s="2"/>
      <x:c r="C42" s="64" t="str">
        <x:v>EBITDA margin</x:v>
      </x:c>
      <x:c r="D42" s="65" t="n">
        <x:f>D41/D28</x:f>
        <x:v>-0.5286543940390094</x:v>
      </x:c>
      <x:c r="E42" s="65" t="n">
        <x:f>E41/E28</x:f>
        <x:v>-0.1255801955801956</x:v>
      </x:c>
      <x:c r="F42" s="65" t="n">
        <x:f>F41/F28</x:f>
        <x:v>0.0025820352229538033</x:v>
      </x:c>
      <x:c r="G42" s="65" t="n">
        <x:f>G41/G28</x:f>
        <x:v>0.07243562285326305</x:v>
      </x:c>
      <x:c r="H42" s="65" t="n">
        <x:f>H41/H28</x:f>
        <x:v>0.11742936847103513</x:v>
      </x:c>
      <x:c r="I42" s="2"/>
      <x:c r="J42" s="2"/>
      <x:c r="K42" s="2"/>
      <x:c r="L42" s="2"/>
    </x:row>
    <x:row r="43" ht="18.75" customHeight="1">
      <x:c r="A43" s="2"/>
      <x:c r="B43" s="2"/>
      <x:c r="C43" s="2"/>
      <x:c r="D43" s="10"/>
      <x:c r="E43" s="10"/>
      <x:c r="F43" s="10"/>
      <x:c r="G43" s="10"/>
      <x:c r="H43" s="10"/>
      <x:c r="I43" s="2"/>
      <x:c r="J43" s="2"/>
      <x:c r="K43" s="2"/>
      <x:c r="L43" s="2"/>
    </x:row>
    <x:row r="44" ht="18.75" customHeight="1">
      <x:c r="A44" s="2"/>
      <x:c r="B44" s="2"/>
      <x:c r="C44" s="2" t="str">
        <x:v>Cash capex</x:v>
      </x:c>
      <x:c r="D44" s="49" t="n">
        <x:f>IF(ISNUMBER(Assumptions!D65),-Assumptions!D65,NA())</x:f>
        <x:v>-1500000</x:v>
      </x:c>
      <x:c r="E44" s="49" t="n">
        <x:f>IF(ISNUMBER(Assumptions!E65),-Assumptions!E65,NA())</x:f>
        <x:v>-3000000</x:v>
      </x:c>
      <x:c r="F44" s="49" t="n">
        <x:f>IF(ISNUMBER(Assumptions!F65),-Assumptions!F65,NA())</x:f>
        <x:v>-5000000</x:v>
      </x:c>
      <x:c r="G44" s="49" t="n">
        <x:f>IF(ISNUMBER(Assumptions!G65),-Assumptions!G65,NA())</x:f>
        <x:v>-8000000</x:v>
      </x:c>
      <x:c r="H44" s="49" t="n">
        <x:f>IF(ISNUMBER(Assumptions!H65),-Assumptions!H65,NA())</x:f>
        <x:v>-10000000</x:v>
      </x:c>
      <x:c r="I44" s="2"/>
      <x:c r="J44" s="2"/>
      <x:c r="K44" s="2"/>
      <x:c r="L44" s="2"/>
    </x:row>
    <x:row r="45" ht="18.75" customHeight="1">
      <x:c r="A45" s="2"/>
      <x:c r="B45" s="2"/>
      <x:c r="C45" s="2" t="str">
        <x:v>Receivables balance</x:v>
      </x:c>
      <x:c r="D45" s="49" t="n">
        <x:f>IF(ISNUMBER(Assumptions!D62),D28*Assumptions!D62/365,NA())</x:f>
        <x:v>300032.87671232875</x:v>
      </x:c>
      <x:c r="E45" s="49" t="n">
        <x:f>IF(ISNUMBER(Assumptions!E62),E28*Assumptions!E62/365,NA())</x:f>
        <x:v>1707879.4520547944</x:v>
      </x:c>
      <x:c r="F45" s="49" t="n">
        <x:f>IF(ISNUMBER(Assumptions!F62),F28*Assumptions!F62/365,NA())</x:f>
        <x:v>4913358.904109589</x:v>
      </x:c>
      <x:c r="G45" s="49" t="n">
        <x:f>IF(ISNUMBER(Assumptions!G62),G28*Assumptions!G62/365,NA())</x:f>
        <x:v>10536539.178082192</x:v>
      </x:c>
      <x:c r="H45" s="49" t="n">
        <x:f>IF(ISNUMBER(Assumptions!H62),H28*Assumptions!H62/365,NA())</x:f>
        <x:v>17725019.17808219</x:v>
      </x:c>
      <x:c r="I45" s="2"/>
      <x:c r="J45" s="2"/>
      <x:c r="K45" s="2"/>
      <x:c r="L45" s="2"/>
    </x:row>
    <x:row r="46" ht="18.75" customHeight="1">
      <x:c r="A46" s="2"/>
      <x:c r="B46" s="2"/>
      <x:c r="C46" s="2" t="str">
        <x:v>Inventory balance</x:v>
      </x:c>
      <x:c r="D46" s="49" t="n">
        <x:f>IF(ISNUMBER(Assumptions!D63),-D33*Assumptions!D63/365,NA())</x:f>
        <x:v>276953.4246575342</x:v>
      </x:c>
      <x:c r="E46" s="49" t="n">
        <x:f>IF(ISNUMBER(Assumptions!E63),-E33*Assumptions!E63/365,NA())</x:f>
        <x:v>1511704.1095890412</x:v>
      </x:c>
      <x:c r="F46" s="49" t="n">
        <x:f>IF(ISNUMBER(Assumptions!F63),-F33*Assumptions!F63/365,NA())</x:f>
        <x:v>4235848.767123288</x:v>
      </x:c>
      <x:c r="G46" s="49" t="n">
        <x:f>IF(ISNUMBER(Assumptions!G63),-G33*Assumptions!G63/365,NA())</x:f>
        <x:v>8943287.671232877</x:v>
      </x:c>
      <x:c r="H46" s="49" t="n">
        <x:f>IF(ISNUMBER(Assumptions!H63),-H33*Assumptions!H63/365,NA())</x:f>
        <x:v>14955484.93150685</x:v>
      </x:c>
      <x:c r="I46" s="2"/>
      <x:c r="J46" s="2"/>
      <x:c r="K46" s="2"/>
      <x:c r="L46" s="2"/>
    </x:row>
    <x:row r="47" ht="18.75" customHeight="1">
      <x:c r="A47" s="2"/>
      <x:c r="B47" s="2"/>
      <x:c r="C47" s="2" t="str">
        <x:v>Payables balance</x:v>
      </x:c>
      <x:c r="D47" s="49" t="n">
        <x:f>IF(ISNUMBER(Assumptions!D64),-D33*Assumptions!D64/365,NA())</x:f>
        <x:v>184635.61643835617</x:v>
      </x:c>
      <x:c r="E47" s="49" t="n">
        <x:f>IF(ISNUMBER(Assumptions!E64),-E33*Assumptions!E64/365,NA())</x:f>
        <x:v>1007802.7397260274</x:v>
      </x:c>
      <x:c r="F47" s="49" t="n">
        <x:f>IF(ISNUMBER(Assumptions!F64),-F33*Assumptions!F64/365,NA())</x:f>
        <x:v>2823899.178082192</x:v>
      </x:c>
      <x:c r="G47" s="49" t="n">
        <x:f>IF(ISNUMBER(Assumptions!G64),-G33*Assumptions!G64/365,NA())</x:f>
        <x:v>5962191.780821918</x:v>
      </x:c>
      <x:c r="H47" s="49" t="n">
        <x:f>IF(ISNUMBER(Assumptions!H64),-H33*Assumptions!H64/365,NA())</x:f>
        <x:v>9970323.287671233</x:v>
      </x:c>
      <x:c r="I47" s="2"/>
      <x:c r="J47" s="2"/>
      <x:c r="K47" s="2"/>
      <x:c r="L47" s="2"/>
    </x:row>
    <x:row r="48" ht="18.75" customHeight="1">
      <x:c r="A48" s="2"/>
      <x:c r="B48" s="2"/>
      <x:c r="C48" s="56" t="str">
        <x:v>Net working capital</x:v>
      </x:c>
      <x:c r="D48" s="59" t="n">
        <x:f>SUM(D45:D46)-D47</x:f>
        <x:v>392350.6849315068</x:v>
      </x:c>
      <x:c r="E48" s="59" t="n">
        <x:f>SUM(E45:E46)-E47</x:f>
        <x:v>2211780.821917808</x:v>
      </x:c>
      <x:c r="F48" s="59" t="n">
        <x:f>SUM(F45:F46)-F47</x:f>
        <x:v>6325308.493150683</x:v>
      </x:c>
      <x:c r="G48" s="59" t="n">
        <x:f>SUM(G45:G46)-G47</x:f>
        <x:v>13517635.068493152</x:v>
      </x:c>
      <x:c r="H48" s="59" t="n">
        <x:f>SUM(H45:H46)-H47</x:f>
        <x:v>22710180.82191781</x:v>
      </x:c>
      <x:c r="I48" s="2"/>
      <x:c r="J48" s="2"/>
      <x:c r="K48" s="2"/>
      <x:c r="L48" s="2"/>
    </x:row>
    <x:row r="49" ht="18.75" customHeight="1">
      <x:c r="A49" s="2"/>
      <x:c r="B49" s="2"/>
      <x:c r="C49" s="2" t="str">
        <x:v>Change in net working capital</x:v>
      </x:c>
      <x:c r="D49" s="10" t="n">
        <x:f>D48</x:f>
        <x:v>392350.6849315068</x:v>
      </x:c>
      <x:c r="E49" s="10" t="n">
        <x:f>E48-D48</x:f>
        <x:v>1819430.1369863013</x:v>
      </x:c>
      <x:c r="F49" s="10" t="n">
        <x:f>F48-E48</x:f>
        <x:v>4113527.671232875</x:v>
      </x:c>
      <x:c r="G49" s="10" t="n">
        <x:f>G48-F48</x:f>
        <x:v>7192326.575342469</x:v>
      </x:c>
      <x:c r="H49" s="10" t="n">
        <x:f>H48-G48</x:f>
        <x:v>9192545.753424658</x:v>
      </x:c>
      <x:c r="I49" s="2"/>
      <x:c r="J49" s="2"/>
      <x:c r="K49" s="2"/>
      <x:c r="L49" s="2"/>
    </x:row>
    <x:row r="50" ht="18.75" customHeight="1">
      <x:c r="A50" s="2"/>
      <x:c r="B50" s="2"/>
      <x:c r="C50" s="56" t="str">
        <x:v>Cash before tax and financing</x:v>
      </x:c>
      <x:c r="D50" s="59" t="n">
        <x:f>SUM(D41,D44)-D49</x:f>
        <x:v>-3822150.684931507</x:v>
      </x:c>
      <x:c r="E50" s="59" t="n">
        <x:f>SUM(E41,E44)-E49</x:f>
        <x:v>-7428886.136986301</x:v>
      </x:c>
      <x:c r="F50" s="59" t="n">
        <x:f>SUM(F41,F44)-F49</x:f>
        <x:v>-8959175.671232875</x:v>
      </x:c>
      <x:c r="G50" s="59" t="n">
        <x:f>SUM(G41,G44)-G49</x:f>
        <x:v>-5906473.775342468</x:v>
      </x:c>
      <x:c r="H50" s="59" t="n">
        <x:f>SUM(H41,H44)-H49</x:f>
        <x:v>6131614.2465753425</x:v>
      </x:c>
      <x:c r="I50" s="2"/>
      <x:c r="J50" s="2"/>
      <x:c r="K50" s="2"/>
      <x:c r="L50" s="2"/>
    </x:row>
    <x:row r="51" ht="18.75" customHeight="1">
      <x:c r="A51" s="2"/>
      <x:c r="B51" s="2"/>
      <x:c r="C51" s="2" t="str">
        <x:v>Cumulative cash before funding</x:v>
      </x:c>
      <x:c r="D51" s="10" t="n">
        <x:f>D50</x:f>
        <x:v>-3822150.684931507</x:v>
      </x:c>
      <x:c r="E51" s="10" t="n">
        <x:f>SUM(D51,E50)</x:f>
        <x:v>-11251036.821917808</x:v>
      </x:c>
      <x:c r="F51" s="10" t="n">
        <x:f>SUM(E51,F50)</x:f>
        <x:v>-20210212.49315068</x:v>
      </x:c>
      <x:c r="G51" s="10" t="n">
        <x:f>SUM(F51,G50)</x:f>
        <x:v>-26116686.26849315</x:v>
      </x:c>
      <x:c r="H51" s="10" t="n">
        <x:f>SUM(G51,H50)</x:f>
        <x:v>-19985072.021917805</x:v>
      </x:c>
      <x:c r="I51" s="2"/>
      <x:c r="J51" s="2"/>
      <x:c r="K51" s="2"/>
      <x:c r="L51" s="2"/>
    </x:row>
    <x:row r="52" ht="18.75" customHeight="1">
      <x:c r="A52" s="2"/>
      <x:c r="B52" s="2"/>
      <x:c r="C52" s="2" t="str">
        <x:v>External funding before reserve</x:v>
      </x:c>
      <x:c r="D52" s="10" t="n">
        <x:f>MAX(0,-D51)</x:f>
        <x:v>3822150.684931507</x:v>
      </x:c>
      <x:c r="E52" s="10" t="n">
        <x:f>MAX(0,-E51)</x:f>
        <x:v>11251036.821917808</x:v>
      </x:c>
      <x:c r="F52" s="10" t="n">
        <x:f>MAX(0,-F51)</x:f>
        <x:v>20210212.49315068</x:v>
      </x:c>
      <x:c r="G52" s="10" t="n">
        <x:f>MAX(0,-G51)</x:f>
        <x:v>26116686.26849315</x:v>
      </x:c>
      <x:c r="H52" s="10" t="n">
        <x:f>MAX(0,-H51)</x:f>
        <x:v>19985072.021917805</x:v>
      </x:c>
      <x:c r="I52" s="2"/>
      <x:c r="J52" s="2"/>
      <x:c r="K52" s="2"/>
      <x:c r="L52" s="2"/>
    </x:row>
    <x:row r="53" ht="18.75" customHeight="1">
      <x:c r="A53" s="2"/>
      <x:c r="B53" s="2"/>
      <x:c r="C53" s="56" t="str">
        <x:v>External funding including reserve</x:v>
      </x:c>
      <x:c r="D53" s="61" t="n">
        <x:f>MAX(0,Assumptions!D69-D51)</x:f>
        <x:v>5822150.684931507</x:v>
      </x:c>
      <x:c r="E53" s="61" t="n">
        <x:f>MAX(0,Assumptions!E69-E51)</x:f>
        <x:v>14251036.821917808</x:v>
      </x:c>
      <x:c r="F53" s="61" t="n">
        <x:f>MAX(0,Assumptions!F69-F51)</x:f>
        <x:v>25210212.49315068</x:v>
      </x:c>
      <x:c r="G53" s="61" t="n">
        <x:f>MAX(0,Assumptions!G69-G51)</x:f>
        <x:v>33116686.26849315</x:v>
      </x:c>
      <x:c r="H53" s="61" t="n">
        <x:f>MAX(0,Assumptions!H69-H51)</x:f>
        <x:v>29985072.021917805</x:v>
      </x:c>
      <x:c r="I53" s="2"/>
      <x:c r="J53" s="2"/>
      <x:c r="K53" s="2"/>
      <x:c r="L53" s="2"/>
    </x:row>
    <x:row r="54" ht="18.75" customHeight="1">
      <x:c r="A54" s="2"/>
      <x:c r="B54" s="2"/>
      <x:c r="C54" s="2"/>
      <x:c r="D54" s="10"/>
      <x:c r="E54" s="10"/>
      <x:c r="F54" s="10"/>
      <x:c r="G54" s="10"/>
      <x:c r="H54" s="10"/>
      <x:c r="I54" s="2"/>
      <x:c r="J54" s="2"/>
      <x:c r="K54" s="2"/>
      <x:c r="L54" s="2"/>
    </x:row>
    <x:row r="55" ht="18.75" customHeight="1">
      <x:c r="A55" s="2"/>
      <x:c r="B55" s="2"/>
      <x:c r="C55" s="2" t="str">
        <x:v>Cans per selling day</x:v>
      </x:c>
      <x:c r="D55" s="51" t="n">
        <x:f>D23/Assumptions!D26</x:f>
        <x:v>30000</x:v>
      </x:c>
      <x:c r="E55" s="51" t="n">
        <x:f>E23/Assumptions!E26</x:f>
        <x:v>155000</x:v>
      </x:c>
      <x:c r="F55" s="51" t="n">
        <x:f>F23/Assumptions!F26</x:f>
        <x:v>409000</x:v>
      </x:c>
      <x:c r="G55" s="51" t="n">
        <x:f>G23/Assumptions!G26</x:f>
        <x:v>803000</x:v>
      </x:c>
      <x:c r="H55" s="51" t="n">
        <x:f>H23/Assumptions!H26</x:f>
        <x:v>1280000</x:v>
      </x:c>
      <x:c r="I55" s="2"/>
      <x:c r="J55" s="2"/>
      <x:c r="K55" s="2"/>
      <x:c r="L55" s="2"/>
    </x:row>
    <x:row r="56" ht="18.75" customHeight="1">
      <x:c r="A56" s="2"/>
      <x:c r="B56" s="2"/>
      <x:c r="C56" s="2" t="str">
        <x:v>Usable co-pack capacity</x:v>
      </x:c>
      <x:c r="D56" s="50" t="n">
        <x:f>Assumptions!D66*Assumptions!D67</x:f>
        <x:v>12750000</x:v>
      </x:c>
      <x:c r="E56" s="50" t="n">
        <x:f>Assumptions!E66*Assumptions!E67</x:f>
        <x:v>68000000</x:v>
      </x:c>
      <x:c r="F56" s="50" t="n">
        <x:f>Assumptions!F66*Assumptions!F67</x:f>
        <x:v>153000000</x:v>
      </x:c>
      <x:c r="G56" s="50" t="n">
        <x:f>Assumptions!G66*Assumptions!G67</x:f>
        <x:v>272000000</x:v>
      </x:c>
      <x:c r="H56" s="50" t="n">
        <x:f>Assumptions!H66*Assumptions!H67</x:f>
        <x:v>425000000</x:v>
      </x:c>
      <x:c r="I56" s="2"/>
      <x:c r="J56" s="2"/>
      <x:c r="K56" s="2"/>
      <x:c r="L56" s="2"/>
    </x:row>
    <x:row r="57" ht="18.75" customHeight="1">
      <x:c r="A57" s="2"/>
      <x:c r="B57" s="2"/>
      <x:c r="C57" s="2" t="str">
        <x:v>Capacity shortfall (cans)</x:v>
      </x:c>
      <x:c r="D57" s="42" t="n">
        <x:f>MAX(0,D23-D56)</x:f>
        <x:v>0</x:v>
      </x:c>
      <x:c r="E57" s="42" t="n">
        <x:f>MAX(0,E23-E56)</x:f>
        <x:v>0</x:v>
      </x:c>
      <x:c r="F57" s="42" t="n">
        <x:f>MAX(0,F23-F56)</x:f>
        <x:v>0</x:v>
      </x:c>
      <x:c r="G57" s="42" t="n">
        <x:f>MAX(0,G23-G56)</x:f>
        <x:v>0</x:v>
      </x:c>
      <x:c r="H57" s="42" t="n">
        <x:f>MAX(0,H23-H56)</x:f>
        <x:v>0</x:v>
      </x:c>
      <x:c r="I57" s="2"/>
      <x:c r="J57" s="2"/>
      <x:c r="K57" s="2"/>
      <x:c r="L57" s="2"/>
    </x:row>
    <x:row r="58" ht="18.75" customHeight="1">
      <x:c r="A58" s="2"/>
      <x:c r="B58" s="2"/>
      <x:c r="C58" s="2" t="str">
        <x:v>Average active selling outlets</x:v>
      </x:c>
      <x:c r="D58" s="51" t="n">
        <x:f>SUM(Assumptions!D27,Assumptions!D30,Assumptions!D33)</x:f>
        <x:v>2500</x:v>
      </x:c>
      <x:c r="E58" s="51" t="n">
        <x:f>SUM(Assumptions!E27,Assumptions!E30,Assumptions!E33)</x:f>
        <x:v>10750</x:v>
      </x:c>
      <x:c r="F58" s="51" t="n">
        <x:f>SUM(Assumptions!F27,Assumptions!F30,Assumptions!F33)</x:f>
        <x:v>24600</x:v>
      </x:c>
      <x:c r="G58" s="51" t="n">
        <x:f>SUM(Assumptions!G27,Assumptions!G30,Assumptions!G33)</x:f>
        <x:v>41500</x:v>
      </x:c>
      <x:c r="H58" s="51" t="n">
        <x:f>SUM(Assumptions!H27,Assumptions!H30,Assumptions!H33)</x:f>
        <x:v>61000</x:v>
      </x:c>
      <x:c r="I58" s="2"/>
      <x:c r="J58" s="2"/>
      <x:c r="K58" s="2"/>
      <x:c r="L58" s="2"/>
    </x:row>
    <x:row r="59" ht="18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18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 ht="18.75" customHeight="1">
      <x:c r="A61" s="2"/>
      <x:c r="B61" s="2"/>
      <x:c r="C61" s="44" t="str">
        <x:v>Net sales exclude VAT/excise and trade discounts. Supplier terms and tax-inclusive retail pricing need separate validation.</x:v>
      </x:c>
      <x:c r="D61" s="44"/>
      <x:c r="E61" s="44"/>
      <x:c r="F61" s="44"/>
      <x:c r="G61" s="44"/>
      <x:c r="H61" s="44"/>
      <x:c r="I61" s="2"/>
      <x:c r="J61" s="2"/>
      <x:c r="K61" s="2"/>
      <x:c r="L61" s="2"/>
    </x:row>
    <x:row r="62" ht="18.75" customHeight="1">
      <x:c r="A62" s="2"/>
      <x:c r="B62" s="2"/>
      <x:c r="C62" s="44" t="str">
        <x:v>Europe is a group of country pilots, not one uniform tax, deposit or distribution market.</x:v>
      </x:c>
      <x:c r="D62" s="44"/>
      <x:c r="E62" s="44"/>
      <x:c r="F62" s="44"/>
      <x:c r="G62" s="44"/>
      <x:c r="H62" s="44"/>
      <x:c r="I62" s="2"/>
      <x:c r="J62" s="2"/>
      <x:c r="K62" s="2"/>
      <x:c r="L62" s="2"/>
    </x:row>
    <x:row r="63" ht="18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 ht="18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 ht="18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 ht="18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</x:sheetData>
  <x:conditionalFormatting sqref="D57:H57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F747D"/>
  </x:sheetPr>
  <x:sheetViews>
    <x:sheetView showGridLines="0" workbookViewId="0">
      <x:pane xSplit="3" ySplit="24" topLeftCell="D25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2.5" hidden="0" customWidth="1"/>
    <x:col min="4" max="4" width="16.25" hidden="0" customWidth="1"/>
    <x:col min="5" max="5" width="16.25" hidden="0" customWidth="1"/>
    <x:col min="6" max="6" width="16.25" hidden="0" customWidth="1"/>
    <x:col min="7" max="7" width="16.25" hidden="0" customWidth="1"/>
    <x:col min="8" max="8" width="16.25" hidden="0" customWidth="1"/>
    <x:col min="9" max="9" width="3" hidden="0" customWidth="1"/>
    <x:col min="10" max="10" width="20" hidden="0" customWidth="1"/>
    <x:col min="11" max="11" width="20" hidden="0" customWidth="1"/>
    <x:col min="12" max="12" width="20" hidden="0" customWidth="1"/>
  </x:cols>
  <x:sheetData>
    <x:row r="1" ht="18.7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7" customHeight="1">
      <x:c r="A2" s="2"/>
      <x:c r="B2" s="2"/>
      <x:c r="C2" s="3" t="str">
        <x:v>JZK Cola / Operating assumptions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18.75" customHeight="1">
      <x:c r="A3" s="2"/>
      <x:c r="B3" s="2"/>
      <x:c r="C3" s="5" t="str">
        <x:v>Unquoted planning assumptions. Prepared 2 Nov 2026.</x:v>
      </x:c>
      <x:c r="D3" s="4"/>
      <x:c r="E3" s="4"/>
      <x:c r="F3" s="4"/>
      <x:c r="G3" s="4"/>
      <x:c r="H3" s="4"/>
      <x:c r="I3" s="2"/>
      <x:c r="J3" s="2"/>
      <x:c r="K3" s="2"/>
      <x:c r="L3" s="2"/>
    </x:row>
    <x:row r="4" ht="18.7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18.75" customHeight="1">
      <x:c r="A5" s="2"/>
      <x:c r="B5" s="2"/>
      <x:c r="C5" s="2" t="str">
        <x:v>Case selector: 1 Base, 2 Downside, 3 Upside</x:v>
      </x:c>
      <x:c r="D5" s="8" t="n">
        <x:v>1</x:v>
      </x:c>
      <x:c r="E5" s="2"/>
      <x:c r="F5" s="2"/>
      <x:c r="G5" s="2"/>
      <x:c r="H5" s="2"/>
      <x:c r="I5" s="2"/>
      <x:c r="J5" s="2"/>
      <x:c r="K5" s="2"/>
      <x:c r="L5" s="2"/>
    </x:row>
    <x:row r="6" ht="18.75" customHeight="1">
      <x:c r="A6" s="2"/>
      <x:c r="B6" s="2"/>
      <x:c r="C6" s="2" t="str">
        <x:v>Case selected</x:v>
      </x:c>
      <x:c r="D6" s="9" t="str">
        <x:f>CHOOSE(D5,"Base","Downside","Upside")</x:f>
        <x:v>Base</x:v>
      </x:c>
      <x:c r="E6" s="2"/>
      <x:c r="F6" s="2"/>
      <x:c r="G6" s="2"/>
      <x:c r="H6" s="2"/>
      <x:c r="I6" s="2"/>
      <x:c r="J6" s="2"/>
      <x:c r="K6" s="2"/>
      <x:c r="L6" s="2"/>
    </x:row>
    <x:row r="7" ht="18.75" customHeight="1">
      <x:c r="A7" s="2"/>
      <x:c r="B7" s="2"/>
      <x:c r="C7" s="2" t="str">
        <x:v>Target annual EBITDA (USD)</x:v>
      </x:c>
      <x:c r="D7" s="11" t="n">
        <x:v>25000000</x:v>
      </x:c>
      <x:c r="E7" s="2"/>
      <x:c r="F7" s="2"/>
      <x:c r="G7" s="2"/>
      <x:c r="H7" s="2"/>
      <x:c r="I7" s="2"/>
      <x:c r="J7" s="2"/>
      <x:c r="K7" s="2"/>
      <x:c r="L7" s="2"/>
    </x:row>
    <x:row r="8" ht="18.7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18.75" customHeight="1">
      <x:c r="A9" s="2"/>
      <x:c r="B9" s="2"/>
      <x:c r="C9" s="12" t="str">
        <x:v>Sales velocity factor / Active</x:v>
      </x:c>
      <x:c r="D9" s="13" t="n">
        <x:f>IF(CHOOSE($D$5,D10="",D11="",D12=""),NA(),CHOOSE($D$5,D10,D11,D12))</x:f>
        <x:v>1</x:v>
      </x:c>
      <x:c r="E9" s="12"/>
      <x:c r="F9" s="12"/>
      <x:c r="G9" s="12"/>
      <x:c r="H9" s="12"/>
      <x:c r="I9" s="2"/>
      <x:c r="J9" s="2"/>
      <x:c r="K9" s="2"/>
      <x:c r="L9" s="2"/>
    </x:row>
    <x:row r="10" ht="18.75" customHeight="1">
      <x:c r="A10" s="2"/>
      <x:c r="B10" s="2"/>
      <x:c r="C10" s="2" t="str">
        <x:v>Base</x:v>
      </x:c>
      <x:c r="D10" s="15" t="n">
        <x:v>1</x:v>
      </x:c>
      <x:c r="E10" s="2"/>
      <x:c r="F10" s="2"/>
      <x:c r="G10" s="2"/>
      <x:c r="H10" s="2"/>
      <x:c r="I10" s="2"/>
      <x:c r="J10" s="2"/>
      <x:c r="K10" s="2"/>
      <x:c r="L10" s="2"/>
    </x:row>
    <x:row r="11" ht="18.75" customHeight="1">
      <x:c r="A11" s="2"/>
      <x:c r="B11" s="2"/>
      <x:c r="C11" s="2" t="str">
        <x:v>Downside</x:v>
      </x:c>
      <x:c r="D11" s="15" t="n">
        <x:v>0.75</x:v>
      </x:c>
      <x:c r="E11" s="2"/>
      <x:c r="F11" s="2"/>
      <x:c r="G11" s="2"/>
      <x:c r="H11" s="2"/>
      <x:c r="I11" s="2"/>
      <x:c r="J11" s="2"/>
      <x:c r="K11" s="2"/>
      <x:c r="L11" s="2"/>
    </x:row>
    <x:row r="12" ht="18.75" customHeight="1">
      <x:c r="A12" s="2"/>
      <x:c r="B12" s="2"/>
      <x:c r="C12" s="2" t="str">
        <x:v>Upside</x:v>
      </x:c>
      <x:c r="D12" s="15" t="n">
        <x:v>1.15</x:v>
      </x:c>
      <x:c r="E12" s="2"/>
      <x:c r="F12" s="2"/>
      <x:c r="G12" s="2"/>
      <x:c r="H12" s="2"/>
      <x:c r="I12" s="2"/>
      <x:c r="J12" s="2"/>
      <x:c r="K12" s="2"/>
      <x:c r="L12" s="2"/>
    </x:row>
    <x:row r="13" ht="18.7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18.75" customHeight="1">
      <x:c r="A14" s="2"/>
      <x:c r="B14" s="2"/>
      <x:c r="C14" s="12" t="str">
        <x:v>Net price factor / Active</x:v>
      </x:c>
      <x:c r="D14" s="13" t="n">
        <x:f>IF(CHOOSE($D$5,D15="",D16="",D17=""),NA(),CHOOSE($D$5,D15,D16,D17))</x:f>
        <x:v>1</x:v>
      </x:c>
      <x:c r="E14" s="12"/>
      <x:c r="F14" s="12"/>
      <x:c r="G14" s="12"/>
      <x:c r="H14" s="12"/>
      <x:c r="I14" s="2"/>
      <x:c r="J14" s="2"/>
      <x:c r="K14" s="2"/>
      <x:c r="L14" s="2"/>
    </x:row>
    <x:row r="15" ht="18.75" customHeight="1">
      <x:c r="A15" s="2"/>
      <x:c r="B15" s="2"/>
      <x:c r="C15" s="2" t="str">
        <x:v>Base</x:v>
      </x:c>
      <x:c r="D15" s="15" t="n">
        <x:v>1</x:v>
      </x:c>
      <x:c r="E15" s="2"/>
      <x:c r="F15" s="2"/>
      <x:c r="G15" s="2"/>
      <x:c r="H15" s="2"/>
      <x:c r="I15" s="2"/>
      <x:c r="J15" s="2"/>
      <x:c r="K15" s="2"/>
      <x:c r="L15" s="2"/>
    </x:row>
    <x:row r="16" ht="18.75" customHeight="1">
      <x:c r="A16" s="2"/>
      <x:c r="B16" s="2"/>
      <x:c r="C16" s="2" t="str">
        <x:v>Downside</x:v>
      </x:c>
      <x:c r="D16" s="15" t="n">
        <x:v>0.9</x:v>
      </x:c>
      <x:c r="E16" s="2"/>
      <x:c r="F16" s="2"/>
      <x:c r="G16" s="2"/>
      <x:c r="H16" s="2"/>
      <x:c r="I16" s="2"/>
      <x:c r="J16" s="2"/>
      <x:c r="K16" s="2"/>
      <x:c r="L16" s="2"/>
    </x:row>
    <x:row r="17" ht="18.75" customHeight="1">
      <x:c r="A17" s="2"/>
      <x:c r="B17" s="2"/>
      <x:c r="C17" s="2" t="str">
        <x:v>Upside</x:v>
      </x:c>
      <x:c r="D17" s="15" t="n">
        <x:v>1.05</x:v>
      </x:c>
      <x:c r="E17" s="2"/>
      <x:c r="F17" s="2"/>
      <x:c r="G17" s="2"/>
      <x:c r="H17" s="2"/>
      <x:c r="I17" s="2"/>
      <x:c r="J17" s="2"/>
      <x:c r="K17" s="2"/>
      <x:c r="L17" s="2"/>
    </x:row>
    <x:row r="18" ht="18.7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18.75" customHeight="1">
      <x:c r="A19" s="2"/>
      <x:c r="B19" s="2"/>
      <x:c r="C19" s="12" t="str">
        <x:v>Landed cost factor / Active</x:v>
      </x:c>
      <x:c r="D19" s="13" t="n">
        <x:f>IF(CHOOSE($D$5,D20="",D21="",D22=""),NA(),CHOOSE($D$5,D20,D21,D22))</x:f>
        <x:v>1</x:v>
      </x:c>
      <x:c r="E19" s="12"/>
      <x:c r="F19" s="12"/>
      <x:c r="G19" s="12"/>
      <x:c r="H19" s="12"/>
      <x:c r="I19" s="2"/>
      <x:c r="J19" s="2"/>
      <x:c r="K19" s="2"/>
      <x:c r="L19" s="2"/>
    </x:row>
    <x:row r="20" ht="18.75" customHeight="1">
      <x:c r="A20" s="2"/>
      <x:c r="B20" s="2"/>
      <x:c r="C20" s="2" t="str">
        <x:v>Base</x:v>
      </x:c>
      <x:c r="D20" s="15" t="n">
        <x:v>1</x:v>
      </x:c>
      <x:c r="E20" s="2"/>
      <x:c r="F20" s="2"/>
      <x:c r="G20" s="2"/>
      <x:c r="H20" s="2"/>
      <x:c r="I20" s="2"/>
      <x:c r="J20" s="2"/>
      <x:c r="K20" s="2"/>
      <x:c r="L20" s="2"/>
    </x:row>
    <x:row r="21" ht="18.75" customHeight="1">
      <x:c r="A21" s="2"/>
      <x:c r="B21" s="2"/>
      <x:c r="C21" s="2" t="str">
        <x:v>Downside</x:v>
      </x:c>
      <x:c r="D21" s="15" t="n">
        <x:v>1.08</x:v>
      </x:c>
      <x:c r="E21" s="2"/>
      <x:c r="F21" s="2"/>
      <x:c r="G21" s="2"/>
      <x:c r="H21" s="2"/>
      <x:c r="I21" s="2"/>
      <x:c r="J21" s="2"/>
      <x:c r="K21" s="2"/>
      <x:c r="L21" s="2"/>
    </x:row>
    <x:row r="22" ht="18.75" customHeight="1">
      <x:c r="A22" s="2"/>
      <x:c r="B22" s="2"/>
      <x:c r="C22" s="2" t="str">
        <x:v>Upside</x:v>
      </x:c>
      <x:c r="D22" s="15" t="n">
        <x:v>0.95</x:v>
      </x:c>
      <x:c r="E22" s="2"/>
      <x:c r="F22" s="2"/>
      <x:c r="G22" s="2"/>
      <x:c r="H22" s="2"/>
      <x:c r="I22" s="2"/>
      <x:c r="J22" s="2"/>
      <x:c r="K22" s="2"/>
      <x:c r="L22" s="2"/>
    </x:row>
    <x:row r="23" ht="18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2.5" customHeight="1">
      <x:c r="A24" s="2"/>
      <x:c r="B24" s="2"/>
      <x:c r="C24" s="21" t="str">
        <x:v>Forecast driver</x:v>
      </x:c>
      <x:c r="D24" s="22" t="n">
        <x:v>2027</x:v>
      </x:c>
      <x:c r="E24" s="22" t="n">
        <x:v>2028</x:v>
      </x:c>
      <x:c r="F24" s="22" t="n">
        <x:v>2029</x:v>
      </x:c>
      <x:c r="G24" s="22" t="n">
        <x:v>2030</x:v>
      </x:c>
      <x:c r="H24" s="23" t="n">
        <x:v>2031</x:v>
      </x:c>
      <x:c r="I24" s="2"/>
      <x:c r="J24" s="2"/>
      <x:c r="K24" s="2"/>
      <x:c r="L24" s="2"/>
    </x:row>
    <x:row r="25" ht="18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18.75" customHeight="1">
      <x:c r="A26" s="2"/>
      <x:c r="B26" s="2"/>
      <x:c r="C26" s="2" t="str">
        <x:v>Selling days per year</x:v>
      </x:c>
      <x:c r="D26" s="25" t="n">
        <x:v>312</x:v>
      </x:c>
      <x:c r="E26" s="25" t="n">
        <x:v>312</x:v>
      </x:c>
      <x:c r="F26" s="25" t="n">
        <x:v>312</x:v>
      </x:c>
      <x:c r="G26" s="25" t="n">
        <x:v>312</x:v>
      </x:c>
      <x:c r="H26" s="25" t="n">
        <x:v>312</x:v>
      </x:c>
      <x:c r="I26" s="2"/>
      <x:c r="J26" s="2"/>
      <x:c r="K26" s="2"/>
      <x:c r="L26" s="2"/>
    </x:row>
    <x:row r="27" ht="18.75" customHeight="1">
      <x:c r="A27" s="2"/>
      <x:c r="B27" s="2"/>
      <x:c r="C27" s="2" t="str">
        <x:v>Pakistan / average active outlets</x:v>
      </x:c>
      <x:c r="D27" s="25" t="n">
        <x:v>2500</x:v>
      </x:c>
      <x:c r="E27" s="25" t="n">
        <x:v>10000</x:v>
      </x:c>
      <x:c r="F27" s="25" t="n">
        <x:v>22000</x:v>
      </x:c>
      <x:c r="G27" s="25" t="n">
        <x:v>35000</x:v>
      </x:c>
      <x:c r="H27" s="25" t="n">
        <x:v>50000</x:v>
      </x:c>
      <x:c r="I27" s="2"/>
      <x:c r="J27" s="2"/>
      <x:c r="K27" s="2"/>
      <x:c r="L27" s="2"/>
    </x:row>
    <x:row r="28" ht="18.75" customHeight="1">
      <x:c r="A28" s="2"/>
      <x:c r="B28" s="2"/>
      <x:c r="C28" s="2" t="str">
        <x:v>Pakistan / base cans per outlet per day</x:v>
      </x:c>
      <x:c r="D28" s="27" t="n">
        <x:v>12</x:v>
      </x:c>
      <x:c r="E28" s="27" t="n">
        <x:v>14</x:v>
      </x:c>
      <x:c r="F28" s="27" t="n">
        <x:v>15</x:v>
      </x:c>
      <x:c r="G28" s="27" t="n">
        <x:v>16</x:v>
      </x:c>
      <x:c r="H28" s="27" t="n">
        <x:v>16</x:v>
      </x:c>
      <x:c r="I28" s="2"/>
      <x:c r="J28" s="2"/>
      <x:c r="K28" s="2"/>
      <x:c r="L28" s="2"/>
    </x:row>
    <x:row r="29" ht="18.75" customHeight="1">
      <x:c r="A29" s="2"/>
      <x:c r="B29" s="2"/>
      <x:c r="C29" s="30" t="str">
        <x:v>Pakistan / active daily sales velocity</x:v>
      </x:c>
      <x:c r="D29" s="31" t="n">
        <x:f>IF(ISNUMBER(D28),D28*$D$9,NA())</x:f>
        <x:v>12</x:v>
      </x:c>
      <x:c r="E29" s="31" t="n">
        <x:f>IF(ISNUMBER(E28),E28*$D$9,NA())</x:f>
        <x:v>14</x:v>
      </x:c>
      <x:c r="F29" s="31" t="n">
        <x:f>IF(ISNUMBER(F28),F28*$D$9,NA())</x:f>
        <x:v>15</x:v>
      </x:c>
      <x:c r="G29" s="31" t="n">
        <x:f>IF(ISNUMBER(G28),G28*$D$9,NA())</x:f>
        <x:v>16</x:v>
      </x:c>
      <x:c r="H29" s="31" t="n">
        <x:f>IF(ISNUMBER(H28),H28*$D$9,NA())</x:f>
        <x:v>16</x:v>
      </x:c>
      <x:c r="I29" s="2"/>
      <x:c r="J29" s="2"/>
      <x:c r="K29" s="2"/>
      <x:c r="L29" s="2"/>
    </x:row>
    <x:row r="30" ht="18.75" customHeight="1">
      <x:c r="A30" s="2"/>
      <x:c r="B30" s="2"/>
      <x:c r="C30" s="2" t="str">
        <x:v>UAE / average active outlets</x:v>
      </x:c>
      <x:c r="D30" s="25" t="n">
        <x:v>0</x:v>
      </x:c>
      <x:c r="E30" s="25" t="n">
        <x:v>750</x:v>
      </x:c>
      <x:c r="F30" s="25" t="n">
        <x:v>2000</x:v>
      </x:c>
      <x:c r="G30" s="25" t="n">
        <x:v>3500</x:v>
      </x:c>
      <x:c r="H30" s="25" t="n">
        <x:v>5000</x:v>
      </x:c>
      <x:c r="I30" s="2"/>
      <x:c r="J30" s="2"/>
      <x:c r="K30" s="2"/>
      <x:c r="L30" s="2"/>
    </x:row>
    <x:row r="31" ht="18.75" customHeight="1">
      <x:c r="A31" s="2"/>
      <x:c r="B31" s="2"/>
      <x:c r="C31" s="2" t="str">
        <x:v>UAE / base cans per outlet per day</x:v>
      </x:c>
      <x:c r="D31" s="27" t="n">
        <x:v>20</x:v>
      </x:c>
      <x:c r="E31" s="27" t="n">
        <x:v>20</x:v>
      </x:c>
      <x:c r="F31" s="27" t="n">
        <x:v>32</x:v>
      </x:c>
      <x:c r="G31" s="27" t="n">
        <x:v>42</x:v>
      </x:c>
      <x:c r="H31" s="27" t="n">
        <x:v>48</x:v>
      </x:c>
      <x:c r="I31" s="2"/>
      <x:c r="J31" s="2"/>
      <x:c r="K31" s="2"/>
      <x:c r="L31" s="2"/>
    </x:row>
    <x:row r="32" ht="18.75" customHeight="1">
      <x:c r="A32" s="2"/>
      <x:c r="B32" s="2"/>
      <x:c r="C32" s="30" t="str">
        <x:v>UAE / active daily sales velocity</x:v>
      </x:c>
      <x:c r="D32" s="31" t="n">
        <x:f>IF(ISNUMBER(D31),D31*$D$9,NA())</x:f>
        <x:v>20</x:v>
      </x:c>
      <x:c r="E32" s="31" t="n">
        <x:f>IF(ISNUMBER(E31),E31*$D$9,NA())</x:f>
        <x:v>20</x:v>
      </x:c>
      <x:c r="F32" s="31" t="n">
        <x:f>IF(ISNUMBER(F31),F31*$D$9,NA())</x:f>
        <x:v>32</x:v>
      </x:c>
      <x:c r="G32" s="31" t="n">
        <x:f>IF(ISNUMBER(G31),G31*$D$9,NA())</x:f>
        <x:v>42</x:v>
      </x:c>
      <x:c r="H32" s="31" t="n">
        <x:f>IF(ISNUMBER(H31),H31*$D$9,NA())</x:f>
        <x:v>48</x:v>
      </x:c>
      <x:c r="I32" s="2"/>
      <x:c r="J32" s="2"/>
      <x:c r="K32" s="2"/>
      <x:c r="L32" s="2"/>
    </x:row>
    <x:row r="33" ht="18.75" customHeight="1">
      <x:c r="A33" s="2"/>
      <x:c r="B33" s="2"/>
      <x:c r="C33" s="2" t="str">
        <x:v>Europe / average active outlets</x:v>
      </x:c>
      <x:c r="D33" s="25" t="n">
        <x:v>0</x:v>
      </x:c>
      <x:c r="E33" s="25" t="n">
        <x:v>0</x:v>
      </x:c>
      <x:c r="F33" s="25" t="n">
        <x:v>600</x:v>
      </x:c>
      <x:c r="G33" s="25" t="n">
        <x:v>3000</x:v>
      </x:c>
      <x:c r="H33" s="25" t="n">
        <x:v>6000</x:v>
      </x:c>
      <x:c r="I33" s="2"/>
      <x:c r="J33" s="2"/>
      <x:c r="K33" s="2"/>
      <x:c r="L33" s="2"/>
    </x:row>
    <x:row r="34" ht="18.75" customHeight="1">
      <x:c r="A34" s="2"/>
      <x:c r="B34" s="2"/>
      <x:c r="C34" s="2" t="str">
        <x:v>Europe / base cans per outlet per day</x:v>
      </x:c>
      <x:c r="D34" s="27" t="n">
        <x:v>25</x:v>
      </x:c>
      <x:c r="E34" s="27" t="n">
        <x:v>25</x:v>
      </x:c>
      <x:c r="F34" s="27" t="n">
        <x:v>25</x:v>
      </x:c>
      <x:c r="G34" s="27" t="n">
        <x:v>32</x:v>
      </x:c>
      <x:c r="H34" s="27" t="n">
        <x:v>40</x:v>
      </x:c>
      <x:c r="I34" s="2"/>
      <x:c r="J34" s="2"/>
      <x:c r="K34" s="2"/>
      <x:c r="L34" s="2"/>
    </x:row>
    <x:row r="35" ht="18.75" customHeight="1">
      <x:c r="A35" s="2"/>
      <x:c r="B35" s="2"/>
      <x:c r="C35" s="30" t="str">
        <x:v>Europe / active daily sales velocity</x:v>
      </x:c>
      <x:c r="D35" s="31" t="n">
        <x:f>IF(ISNUMBER(D34),D34*$D$9,NA())</x:f>
        <x:v>25</x:v>
      </x:c>
      <x:c r="E35" s="31" t="n">
        <x:f>IF(ISNUMBER(E34),E34*$D$9,NA())</x:f>
        <x:v>25</x:v>
      </x:c>
      <x:c r="F35" s="31" t="n">
        <x:f>IF(ISNUMBER(F34),F34*$D$9,NA())</x:f>
        <x:v>25</x:v>
      </x:c>
      <x:c r="G35" s="31" t="n">
        <x:f>IF(ISNUMBER(G34),G34*$D$9,NA())</x:f>
        <x:v>32</x:v>
      </x:c>
      <x:c r="H35" s="31" t="n">
        <x:f>IF(ISNUMBER(H34),H34*$D$9,NA())</x:f>
        <x:v>40</x:v>
      </x:c>
      <x:c r="I35" s="2"/>
      <x:c r="J35" s="2"/>
      <x:c r="K35" s="2"/>
      <x:c r="L35" s="2"/>
    </x:row>
    <x:row r="36" ht="18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18.75" customHeight="1">
      <x:c r="A37" s="2"/>
      <x:c r="B37" s="2"/>
      <x:c r="C37" s="2" t="str">
        <x:v>Pakistan / base net revenue per can</x:v>
      </x:c>
      <x:c r="D37" s="33" t="n">
        <x:v>0.39</x:v>
      </x:c>
      <x:c r="E37" s="33" t="n">
        <x:v>0.39</x:v>
      </x:c>
      <x:c r="F37" s="33" t="n">
        <x:v>0.39</x:v>
      </x:c>
      <x:c r="G37" s="33" t="n">
        <x:v>0.39</x:v>
      </x:c>
      <x:c r="H37" s="33" t="n">
        <x:v>0.39</x:v>
      </x:c>
      <x:c r="I37" s="2"/>
      <x:c r="J37" s="2"/>
      <x:c r="K37" s="2"/>
      <x:c r="L37" s="2"/>
    </x:row>
    <x:row r="38" ht="18.75" customHeight="1">
      <x:c r="A38" s="2"/>
      <x:c r="B38" s="2"/>
      <x:c r="C38" s="30" t="str">
        <x:v>Pakistan / active net revenue per can</x:v>
      </x:c>
      <x:c r="D38" s="35" t="n">
        <x:f>IF(ISNUMBER(D37),D37*$D$14,NA())</x:f>
        <x:v>0.39</x:v>
      </x:c>
      <x:c r="E38" s="35" t="n">
        <x:f>IF(ISNUMBER(E37),E37*$D$14,NA())</x:f>
        <x:v>0.39</x:v>
      </x:c>
      <x:c r="F38" s="35" t="n">
        <x:f>IF(ISNUMBER(F37),F37*$D$14,NA())</x:f>
        <x:v>0.39</x:v>
      </x:c>
      <x:c r="G38" s="35" t="n">
        <x:f>IF(ISNUMBER(G37),G37*$D$14,NA())</x:f>
        <x:v>0.39</x:v>
      </x:c>
      <x:c r="H38" s="35" t="n">
        <x:f>IF(ISNUMBER(H37),H37*$D$14,NA())</x:f>
        <x:v>0.39</x:v>
      </x:c>
      <x:c r="I38" s="2"/>
      <x:c r="J38" s="2"/>
      <x:c r="K38" s="2"/>
      <x:c r="L38" s="2"/>
    </x:row>
    <x:row r="39" ht="18.75" customHeight="1">
      <x:c r="A39" s="2"/>
      <x:c r="B39" s="2"/>
      <x:c r="C39" s="2" t="str">
        <x:v>UAE / base net revenue per can</x:v>
      </x:c>
      <x:c r="D39" s="33" t="n">
        <x:v>0.8</x:v>
      </x:c>
      <x:c r="E39" s="33" t="n">
        <x:v>0.8</x:v>
      </x:c>
      <x:c r="F39" s="33" t="n">
        <x:v>0.8</x:v>
      </x:c>
      <x:c r="G39" s="33" t="n">
        <x:v>0.8</x:v>
      </x:c>
      <x:c r="H39" s="33" t="n">
        <x:v>0.8</x:v>
      </x:c>
      <x:c r="I39" s="2"/>
      <x:c r="J39" s="2"/>
      <x:c r="K39" s="2"/>
      <x:c r="L39" s="2"/>
    </x:row>
    <x:row r="40" ht="18.75" customHeight="1">
      <x:c r="A40" s="2"/>
      <x:c r="B40" s="2"/>
      <x:c r="C40" s="30" t="str">
        <x:v>UAE / active net revenue per can</x:v>
      </x:c>
      <x:c r="D40" s="35" t="n">
        <x:f>IF(ISNUMBER(D39),D39*$D$14,NA())</x:f>
        <x:v>0.8</x:v>
      </x:c>
      <x:c r="E40" s="35" t="n">
        <x:f>IF(ISNUMBER(E39),E39*$D$14,NA())</x:f>
        <x:v>0.8</x:v>
      </x:c>
      <x:c r="F40" s="35" t="n">
        <x:f>IF(ISNUMBER(F39),F39*$D$14,NA())</x:f>
        <x:v>0.8</x:v>
      </x:c>
      <x:c r="G40" s="35" t="n">
        <x:f>IF(ISNUMBER(G39),G39*$D$14,NA())</x:f>
        <x:v>0.8</x:v>
      </x:c>
      <x:c r="H40" s="35" t="n">
        <x:f>IF(ISNUMBER(H39),H39*$D$14,NA())</x:f>
        <x:v>0.8</x:v>
      </x:c>
      <x:c r="I40" s="2"/>
      <x:c r="J40" s="2"/>
      <x:c r="K40" s="2"/>
      <x:c r="L40" s="2"/>
    </x:row>
    <x:row r="41" ht="18.75" customHeight="1">
      <x:c r="A41" s="2"/>
      <x:c r="B41" s="2"/>
      <x:c r="C41" s="2" t="str">
        <x:v>Europe / base net revenue per can</x:v>
      </x:c>
      <x:c r="D41" s="33" t="n">
        <x:v>0.78</x:v>
      </x:c>
      <x:c r="E41" s="33" t="n">
        <x:v>0.78</x:v>
      </x:c>
      <x:c r="F41" s="33" t="n">
        <x:v>0.78</x:v>
      </x:c>
      <x:c r="G41" s="33" t="n">
        <x:v>0.78</x:v>
      </x:c>
      <x:c r="H41" s="33" t="n">
        <x:v>0.78</x:v>
      </x:c>
      <x:c r="I41" s="2"/>
      <x:c r="J41" s="2"/>
      <x:c r="K41" s="2"/>
      <x:c r="L41" s="2"/>
    </x:row>
    <x:row r="42" ht="18.75" customHeight="1">
      <x:c r="A42" s="2"/>
      <x:c r="B42" s="2"/>
      <x:c r="C42" s="30" t="str">
        <x:v>Europe / active net revenue per can</x:v>
      </x:c>
      <x:c r="D42" s="35" t="n">
        <x:f>IF(ISNUMBER(D41),D41*$D$14,NA())</x:f>
        <x:v>0.78</x:v>
      </x:c>
      <x:c r="E42" s="35" t="n">
        <x:f>IF(ISNUMBER(E41),E41*$D$14,NA())</x:f>
        <x:v>0.78</x:v>
      </x:c>
      <x:c r="F42" s="35" t="n">
        <x:f>IF(ISNUMBER(F41),F41*$D$14,NA())</x:f>
        <x:v>0.78</x:v>
      </x:c>
      <x:c r="G42" s="35" t="n">
        <x:f>IF(ISNUMBER(G41),G41*$D$14,NA())</x:f>
        <x:v>0.78</x:v>
      </x:c>
      <x:c r="H42" s="35" t="n">
        <x:f>IF(ISNUMBER(H41),H41*$D$14,NA())</x:f>
        <x:v>0.78</x:v>
      </x:c>
      <x:c r="I42" s="2"/>
      <x:c r="J42" s="2"/>
      <x:c r="K42" s="2"/>
      <x:c r="L42" s="2"/>
    </x:row>
    <x:row r="43" ht="18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18.75" customHeight="1">
      <x:c r="A44" s="2"/>
      <x:c r="B44" s="2"/>
      <x:c r="C44" s="2" t="str">
        <x:v>Pakistan / base landed cost per can</x:v>
      </x:c>
      <x:c r="D44" s="33" t="n">
        <x:v>0.24</x:v>
      </x:c>
      <x:c r="E44" s="33" t="n">
        <x:v>0.24</x:v>
      </x:c>
      <x:c r="F44" s="33" t="n">
        <x:v>0.24</x:v>
      </x:c>
      <x:c r="G44" s="33" t="n">
        <x:v>0.24</x:v>
      </x:c>
      <x:c r="H44" s="33" t="n">
        <x:v>0.24</x:v>
      </x:c>
      <x:c r="I44" s="2"/>
      <x:c r="J44" s="2"/>
      <x:c r="K44" s="2"/>
      <x:c r="L44" s="2"/>
    </x:row>
    <x:row r="45" ht="18.75" customHeight="1">
      <x:c r="A45" s="2"/>
      <x:c r="B45" s="2"/>
      <x:c r="C45" s="30" t="str">
        <x:v>Pakistan / active landed cost per can</x:v>
      </x:c>
      <x:c r="D45" s="35" t="n">
        <x:f>IF(ISNUMBER(D44),D44*$D$19,NA())</x:f>
        <x:v>0.24</x:v>
      </x:c>
      <x:c r="E45" s="35" t="n">
        <x:f>IF(ISNUMBER(E44),E44*$D$19,NA())</x:f>
        <x:v>0.24</x:v>
      </x:c>
      <x:c r="F45" s="35" t="n">
        <x:f>IF(ISNUMBER(F44),F44*$D$19,NA())</x:f>
        <x:v>0.24</x:v>
      </x:c>
      <x:c r="G45" s="35" t="n">
        <x:f>IF(ISNUMBER(G44),G44*$D$19,NA())</x:f>
        <x:v>0.24</x:v>
      </x:c>
      <x:c r="H45" s="35" t="n">
        <x:f>IF(ISNUMBER(H44),H44*$D$19,NA())</x:f>
        <x:v>0.24</x:v>
      </x:c>
      <x:c r="I45" s="2"/>
      <x:c r="J45" s="2"/>
      <x:c r="K45" s="2"/>
      <x:c r="L45" s="2"/>
    </x:row>
    <x:row r="46" ht="18.75" customHeight="1">
      <x:c r="A46" s="2"/>
      <x:c r="B46" s="2"/>
      <x:c r="C46" s="2" t="str">
        <x:v>UAE / base landed cost per can</x:v>
      </x:c>
      <x:c r="D46" s="33" t="n">
        <x:v>0.38</x:v>
      </x:c>
      <x:c r="E46" s="33" t="n">
        <x:v>0.38</x:v>
      </x:c>
      <x:c r="F46" s="33" t="n">
        <x:v>0.38</x:v>
      </x:c>
      <x:c r="G46" s="33" t="n">
        <x:v>0.38</x:v>
      </x:c>
      <x:c r="H46" s="33" t="n">
        <x:v>0.38</x:v>
      </x:c>
      <x:c r="I46" s="2"/>
      <x:c r="J46" s="2"/>
      <x:c r="K46" s="2"/>
      <x:c r="L46" s="2"/>
    </x:row>
    <x:row r="47" ht="18.75" customHeight="1">
      <x:c r="A47" s="2"/>
      <x:c r="B47" s="2"/>
      <x:c r="C47" s="30" t="str">
        <x:v>UAE / active landed cost per can</x:v>
      </x:c>
      <x:c r="D47" s="35" t="n">
        <x:f>IF(ISNUMBER(D46),D46*$D$19,NA())</x:f>
        <x:v>0.38</x:v>
      </x:c>
      <x:c r="E47" s="35" t="n">
        <x:f>IF(ISNUMBER(E46),E46*$D$19,NA())</x:f>
        <x:v>0.38</x:v>
      </x:c>
      <x:c r="F47" s="35" t="n">
        <x:f>IF(ISNUMBER(F46),F46*$D$19,NA())</x:f>
        <x:v>0.38</x:v>
      </x:c>
      <x:c r="G47" s="35" t="n">
        <x:f>IF(ISNUMBER(G46),G46*$D$19,NA())</x:f>
        <x:v>0.38</x:v>
      </x:c>
      <x:c r="H47" s="35" t="n">
        <x:f>IF(ISNUMBER(H46),H46*$D$19,NA())</x:f>
        <x:v>0.38</x:v>
      </x:c>
      <x:c r="I47" s="2"/>
      <x:c r="J47" s="2"/>
      <x:c r="K47" s="2"/>
      <x:c r="L47" s="2"/>
    </x:row>
    <x:row r="48" ht="18.75" customHeight="1">
      <x:c r="A48" s="2"/>
      <x:c r="B48" s="2"/>
      <x:c r="C48" s="2" t="str">
        <x:v>Europe / base landed cost per can</x:v>
      </x:c>
      <x:c r="D48" s="33" t="n">
        <x:v>0.44</x:v>
      </x:c>
      <x:c r="E48" s="33" t="n">
        <x:v>0.44</x:v>
      </x:c>
      <x:c r="F48" s="33" t="n">
        <x:v>0.44</x:v>
      </x:c>
      <x:c r="G48" s="33" t="n">
        <x:v>0.44</x:v>
      </x:c>
      <x:c r="H48" s="33" t="n">
        <x:v>0.44</x:v>
      </x:c>
      <x:c r="I48" s="2"/>
      <x:c r="J48" s="2"/>
      <x:c r="K48" s="2"/>
      <x:c r="L48" s="2"/>
    </x:row>
    <x:row r="49" ht="18.75" customHeight="1">
      <x:c r="A49" s="2"/>
      <x:c r="B49" s="2"/>
      <x:c r="C49" s="30" t="str">
        <x:v>Europe / active landed cost per can</x:v>
      </x:c>
      <x:c r="D49" s="35" t="n">
        <x:f>IF(ISNUMBER(D48),D48*$D$19,NA())</x:f>
        <x:v>0.44</x:v>
      </x:c>
      <x:c r="E49" s="35" t="n">
        <x:f>IF(ISNUMBER(E48),E48*$D$19,NA())</x:f>
        <x:v>0.44</x:v>
      </x:c>
      <x:c r="F49" s="35" t="n">
        <x:f>IF(ISNUMBER(F48),F48*$D$19,NA())</x:f>
        <x:v>0.44</x:v>
      </x:c>
      <x:c r="G49" s="35" t="n">
        <x:f>IF(ISNUMBER(G48),G48*$D$19,NA())</x:f>
        <x:v>0.44</x:v>
      </x:c>
      <x:c r="H49" s="35" t="n">
        <x:f>IF(ISNUMBER(H48),H48*$D$19,NA())</x:f>
        <x:v>0.44</x:v>
      </x:c>
      <x:c r="I49" s="2"/>
      <x:c r="J49" s="2"/>
      <x:c r="K49" s="2"/>
      <x:c r="L49" s="2"/>
    </x:row>
    <x:row r="50" ht="18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18.75" customHeight="1">
      <x:c r="A51" s="2"/>
      <x:c r="B51" s="2"/>
      <x:c r="C51" s="2" t="str">
        <x:v>Pakistan / variable selling cost per can</x:v>
      </x:c>
      <x:c r="D51" s="33" t="n">
        <x:v>0.045</x:v>
      </x:c>
      <x:c r="E51" s="33" t="n">
        <x:v>0.045</x:v>
      </x:c>
      <x:c r="F51" s="33" t="n">
        <x:v>0.045</x:v>
      </x:c>
      <x:c r="G51" s="33" t="n">
        <x:v>0.045</x:v>
      </x:c>
      <x:c r="H51" s="33" t="n">
        <x:v>0.045</x:v>
      </x:c>
      <x:c r="I51" s="2"/>
      <x:c r="J51" s="2"/>
      <x:c r="K51" s="2"/>
      <x:c r="L51" s="2"/>
    </x:row>
    <x:row r="52" ht="18.75" customHeight="1">
      <x:c r="A52" s="2"/>
      <x:c r="B52" s="2"/>
      <x:c r="C52" s="2" t="str">
        <x:v>UAE / variable selling cost per can</x:v>
      </x:c>
      <x:c r="D52" s="33" t="n">
        <x:v>0.09</x:v>
      </x:c>
      <x:c r="E52" s="33" t="n">
        <x:v>0.09</x:v>
      </x:c>
      <x:c r="F52" s="33" t="n">
        <x:v>0.09</x:v>
      </x:c>
      <x:c r="G52" s="33" t="n">
        <x:v>0.09</x:v>
      </x:c>
      <x:c r="H52" s="33" t="n">
        <x:v>0.09</x:v>
      </x:c>
      <x:c r="I52" s="2"/>
      <x:c r="J52" s="2"/>
      <x:c r="K52" s="2"/>
      <x:c r="L52" s="2"/>
    </x:row>
    <x:row r="53" ht="18.75" customHeight="1">
      <x:c r="A53" s="2"/>
      <x:c r="B53" s="2"/>
      <x:c r="C53" s="2" t="str">
        <x:v>Europe / variable selling cost per can</x:v>
      </x:c>
      <x:c r="D53" s="33" t="n">
        <x:v>0.1</x:v>
      </x:c>
      <x:c r="E53" s="33" t="n">
        <x:v>0.1</x:v>
      </x:c>
      <x:c r="F53" s="33" t="n">
        <x:v>0.1</x:v>
      </x:c>
      <x:c r="G53" s="33" t="n">
        <x:v>0.1</x:v>
      </x:c>
      <x:c r="H53" s="33" t="n">
        <x:v>0.1</x:v>
      </x:c>
      <x:c r="I53" s="2"/>
      <x:c r="J53" s="2"/>
      <x:c r="K53" s="2"/>
      <x:c r="L53" s="2"/>
    </x:row>
    <x:row r="54" ht="18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18.75" customHeight="1">
      <x:c r="A55" s="2"/>
      <x:c r="B55" s="2"/>
      <x:c r="C55" s="2" t="str">
        <x:v>Brand marketing / net sales</x:v>
      </x:c>
      <x:c r="D55" s="37" t="n">
        <x:v>0.25</x:v>
      </x:c>
      <x:c r="E55" s="37" t="n">
        <x:v>0.18</x:v>
      </x:c>
      <x:c r="F55" s="37" t="n">
        <x:v>0.14</x:v>
      </x:c>
      <x:c r="G55" s="37" t="n">
        <x:v>0.12</x:v>
      </x:c>
      <x:c r="H55" s="37" t="n">
        <x:v>0.1</x:v>
      </x:c>
      <x:c r="I55" s="2"/>
      <x:c r="J55" s="2"/>
      <x:c r="K55" s="2"/>
      <x:c r="L55" s="2"/>
    </x:row>
    <x:row r="56" ht="18.75" customHeight="1">
      <x:c r="A56" s="2"/>
      <x:c r="B56" s="2"/>
      <x:c r="C56" s="2" t="str">
        <x:v>Average staff headcount</x:v>
      </x:c>
      <x:c r="D56" s="25" t="n">
        <x:v>30</x:v>
      </x:c>
      <x:c r="E56" s="25" t="n">
        <x:v>70</x:v>
      </x:c>
      <x:c r="F56" s="25" t="n">
        <x:v>130</x:v>
      </x:c>
      <x:c r="G56" s="25" t="n">
        <x:v>210</x:v>
      </x:c>
      <x:c r="H56" s="25" t="n">
        <x:v>300</x:v>
      </x:c>
      <x:c r="I56" s="2"/>
      <x:c r="J56" s="2"/>
      <x:c r="K56" s="2"/>
      <x:c r="L56" s="2"/>
    </x:row>
    <x:row r="57" ht="18.75" customHeight="1">
      <x:c r="A57" s="2"/>
      <x:c r="B57" s="2"/>
      <x:c r="C57" s="2" t="str">
        <x:v>Annual loaded staff cost / person</x:v>
      </x:c>
      <x:c r="D57" s="39" t="n">
        <x:v>20000</x:v>
      </x:c>
      <x:c r="E57" s="39" t="n">
        <x:v>24000</x:v>
      </x:c>
      <x:c r="F57" s="39" t="n">
        <x:v>28000</x:v>
      </x:c>
      <x:c r="G57" s="39" t="n">
        <x:v>32000</x:v>
      </x:c>
      <x:c r="H57" s="39" t="n">
        <x:v>36000</x:v>
      </x:c>
      <x:c r="I57" s="2"/>
      <x:c r="J57" s="2"/>
      <x:c r="K57" s="2"/>
      <x:c r="L57" s="2"/>
    </x:row>
    <x:row r="58" ht="18.75" customHeight="1">
      <x:c r="A58" s="2"/>
      <x:c r="B58" s="2"/>
      <x:c r="C58" s="2" t="str">
        <x:v>Regional fixed sales and warehouse costs</x:v>
      </x:c>
      <x:c r="D58" s="11" t="n">
        <x:v>600000</x:v>
      </x:c>
      <x:c r="E58" s="11" t="n">
        <x:v>1500000</x:v>
      </x:c>
      <x:c r="F58" s="11" t="n">
        <x:v>3000000</x:v>
      </x:c>
      <x:c r="G58" s="11" t="n">
        <x:v>5000000</x:v>
      </x:c>
      <x:c r="H58" s="11" t="n">
        <x:v>7000000</x:v>
      </x:c>
      <x:c r="I58" s="2"/>
      <x:c r="J58" s="2"/>
      <x:c r="K58" s="2"/>
      <x:c r="L58" s="2"/>
    </x:row>
    <x:row r="59" ht="18.75" customHeight="1">
      <x:c r="A59" s="2"/>
      <x:c r="B59" s="2"/>
      <x:c r="C59" s="2" t="str">
        <x:v>Other G&amp;A, tech and compliance costs</x:v>
      </x:c>
      <x:c r="D59" s="11" t="n">
        <x:v>800000</x:v>
      </x:c>
      <x:c r="E59" s="11" t="n">
        <x:v>1820000</x:v>
      </x:c>
      <x:c r="F59" s="11" t="n">
        <x:v>3360000</x:v>
      </x:c>
      <x:c r="G59" s="11" t="n">
        <x:v>4280000</x:v>
      </x:c>
      <x:c r="H59" s="11" t="n">
        <x:v>4200000</x:v>
      </x:c>
      <x:c r="I59" s="2"/>
      <x:c r="J59" s="2"/>
      <x:c r="K59" s="2"/>
      <x:c r="L59" s="2"/>
    </x:row>
    <x:row r="60" ht="18.75" customHeight="1">
      <x:c r="A60" s="2"/>
      <x:c r="B60" s="2"/>
      <x:c r="C60" s="30" t="str">
        <x:v>Total fixed operating costs</x:v>
      </x:c>
      <x:c r="D60" s="41" t="n">
        <x:f>IF(COUNT(D56:D59)=4,D56*D57+SUM(D58:D59),NA())</x:f>
        <x:v>2000000</x:v>
      </x:c>
      <x:c r="E60" s="41" t="n">
        <x:f>IF(COUNT(E56:E59)=4,E56*E57+SUM(E58:E59),NA())</x:f>
        <x:v>5000000</x:v>
      </x:c>
      <x:c r="F60" s="41" t="n">
        <x:f>IF(COUNT(F56:F59)=4,F56*F57+SUM(F58:F59),NA())</x:f>
        <x:v>10000000</x:v>
      </x:c>
      <x:c r="G60" s="41" t="n">
        <x:f>IF(COUNT(G56:G59)=4,G56*G57+SUM(G58:G59),NA())</x:f>
        <x:v>16000000</x:v>
      </x:c>
      <x:c r="H60" s="41" t="n">
        <x:f>IF(COUNT(H56:H59)=4,H56*H57+SUM(H58:H59),NA())</x:f>
        <x:v>22000000</x:v>
      </x:c>
      <x:c r="I60" s="2"/>
      <x:c r="J60" s="2"/>
      <x:c r="K60" s="2"/>
      <x:c r="L60" s="2"/>
    </x:row>
    <x:row r="61" ht="18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 ht="18.75" customHeight="1">
      <x:c r="A62" s="2"/>
      <x:c r="B62" s="2"/>
      <x:c r="C62" s="2" t="str">
        <x:v>Receivable days</x:v>
      </x:c>
      <x:c r="D62" s="25" t="n">
        <x:v>30</x:v>
      </x:c>
      <x:c r="E62" s="25" t="n">
        <x:v>30</x:v>
      </x:c>
      <x:c r="F62" s="25" t="n">
        <x:v>30</x:v>
      </x:c>
      <x:c r="G62" s="25" t="n">
        <x:v>30</x:v>
      </x:c>
      <x:c r="H62" s="25" t="n">
        <x:v>30</x:v>
      </x:c>
      <x:c r="I62" s="2"/>
      <x:c r="J62" s="2"/>
      <x:c r="K62" s="2"/>
      <x:c r="L62" s="2"/>
    </x:row>
    <x:row r="63" ht="18.75" customHeight="1">
      <x:c r="A63" s="2"/>
      <x:c r="B63" s="2"/>
      <x:c r="C63" s="2" t="str">
        <x:v>Inventory days</x:v>
      </x:c>
      <x:c r="D63" s="25" t="n">
        <x:v>45</x:v>
      </x:c>
      <x:c r="E63" s="25" t="n">
        <x:v>45</x:v>
      </x:c>
      <x:c r="F63" s="25" t="n">
        <x:v>45</x:v>
      </x:c>
      <x:c r="G63" s="25" t="n">
        <x:v>45</x:v>
      </x:c>
      <x:c r="H63" s="25" t="n">
        <x:v>45</x:v>
      </x:c>
      <x:c r="I63" s="2"/>
      <x:c r="J63" s="2"/>
      <x:c r="K63" s="2"/>
      <x:c r="L63" s="2"/>
    </x:row>
    <x:row r="64" ht="18.75" customHeight="1">
      <x:c r="A64" s="2"/>
      <x:c r="B64" s="2"/>
      <x:c r="C64" s="2" t="str">
        <x:v>Payable days</x:v>
      </x:c>
      <x:c r="D64" s="25" t="n">
        <x:v>30</x:v>
      </x:c>
      <x:c r="E64" s="25" t="n">
        <x:v>30</x:v>
      </x:c>
      <x:c r="F64" s="25" t="n">
        <x:v>30</x:v>
      </x:c>
      <x:c r="G64" s="25" t="n">
        <x:v>30</x:v>
      </x:c>
      <x:c r="H64" s="25" t="n">
        <x:v>30</x:v>
      </x:c>
      <x:c r="I64" s="2"/>
      <x:c r="J64" s="2"/>
      <x:c r="K64" s="2"/>
      <x:c r="L64" s="2"/>
    </x:row>
    <x:row r="65" ht="18.75" customHeight="1">
      <x:c r="A65" s="2"/>
      <x:c r="B65" s="2"/>
      <x:c r="C65" s="2" t="str">
        <x:v>Cash capex: tools, coolers, IT and deposits</x:v>
      </x:c>
      <x:c r="D65" s="11" t="n">
        <x:v>1500000</x:v>
      </x:c>
      <x:c r="E65" s="11" t="n">
        <x:v>3000000</x:v>
      </x:c>
      <x:c r="F65" s="11" t="n">
        <x:v>5000000</x:v>
      </x:c>
      <x:c r="G65" s="11" t="n">
        <x:v>8000000</x:v>
      </x:c>
      <x:c r="H65" s="11" t="n">
        <x:v>10000000</x:v>
      </x:c>
      <x:c r="I65" s="2"/>
      <x:c r="J65" s="2"/>
      <x:c r="K65" s="2"/>
      <x:c r="L65" s="2"/>
    </x:row>
    <x:row r="66" ht="18.75" customHeight="1">
      <x:c r="A66" s="2"/>
      <x:c r="B66" s="2"/>
      <x:c r="C66" s="2" t="str">
        <x:v>Co-pack annual nameplate capacity (cans)</x:v>
      </x:c>
      <x:c r="D66" s="43" t="n">
        <x:v>15000000</x:v>
      </x:c>
      <x:c r="E66" s="43" t="n">
        <x:v>80000000</x:v>
      </x:c>
      <x:c r="F66" s="43" t="n">
        <x:v>180000000</x:v>
      </x:c>
      <x:c r="G66" s="43" t="n">
        <x:v>320000000</x:v>
      </x:c>
      <x:c r="H66" s="43" t="n">
        <x:v>500000000</x:v>
      </x:c>
      <x:c r="I66" s="2"/>
      <x:c r="J66" s="2"/>
      <x:c r="K66" s="2"/>
      <x:c r="L66" s="2"/>
    </x:row>
    <x:row r="67" ht="18.75" customHeight="1">
      <x:c r="A67" s="2"/>
      <x:c r="B67" s="2"/>
      <x:c r="C67" s="2" t="str">
        <x:v>Usable share of nameplate capacity</x:v>
      </x:c>
      <x:c r="D67" s="37" t="n">
        <x:v>0.85</x:v>
      </x:c>
      <x:c r="E67" s="37" t="n">
        <x:v>0.85</x:v>
      </x:c>
      <x:c r="F67" s="37" t="n">
        <x:v>0.85</x:v>
      </x:c>
      <x:c r="G67" s="37" t="n">
        <x:v>0.85</x:v>
      </x:c>
      <x:c r="H67" s="37" t="n">
        <x:v>0.85</x:v>
      </x:c>
      <x:c r="I67" s="2"/>
      <x:c r="J67" s="2"/>
      <x:c r="K67" s="2"/>
      <x:c r="L67" s="2"/>
    </x:row>
    <x:row r="68" ht="18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 ht="18.75" customHeight="1">
      <x:c r="A69" s="2"/>
      <x:c r="B69" s="2"/>
      <x:c r="C69" s="2" t="str">
        <x:v>Minimum cash reserve</x:v>
      </x:c>
      <x:c r="D69" s="11" t="n">
        <x:v>2000000</x:v>
      </x:c>
      <x:c r="E69" s="11" t="n">
        <x:v>3000000</x:v>
      </x:c>
      <x:c r="F69" s="11" t="n">
        <x:v>5000000</x:v>
      </x:c>
      <x:c r="G69" s="11" t="n">
        <x:v>7000000</x:v>
      </x:c>
      <x:c r="H69" s="11" t="n">
        <x:v>10000000</x:v>
      </x:c>
      <x:c r="I69" s="2"/>
      <x:c r="J69" s="2"/>
      <x:c r="K69" s="2"/>
      <x:c r="L69" s="2"/>
    </x:row>
    <x:row r="70" ht="18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  <x:row r="71" ht="18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</x:row>
    <x:row r="72" ht="18.75" customHeight="1">
      <x:c r="A72" s="2"/>
      <x:c r="B72" s="2"/>
      <x:c r="C72" s="44" t="str">
        <x:v>Net revenue is manufacturer revenue after trade rebates and indirect taxes.</x:v>
      </x:c>
      <x:c r="D72" s="44"/>
      <x:c r="E72" s="44"/>
      <x:c r="F72" s="44"/>
      <x:c r="G72" s="44"/>
      <x:c r="H72" s="44"/>
      <x:c r="I72" s="2"/>
      <x:c r="J72" s="2"/>
      <x:c r="K72" s="2"/>
      <x:c r="L72" s="2"/>
    </x:row>
    <x:row r="73" ht="18.75" customHeight="1">
      <x:c r="A73" s="2"/>
      <x:c r="B73" s="2"/>
      <x:c r="C73" s="44" t="str">
        <x:v>Landed costs include ingredients, can, fill, secondary pack, inbound freight and nonrecoverable duties.</x:v>
      </x:c>
      <x:c r="D73" s="44"/>
      <x:c r="E73" s="44"/>
      <x:c r="F73" s="44"/>
      <x:c r="G73" s="44"/>
      <x:c r="H73" s="44"/>
      <x:c r="I73" s="2"/>
      <x:c r="J73" s="2"/>
      <x:c r="K73" s="2"/>
      <x:c r="L73" s="2"/>
    </x:row>
    <x:row r="74" ht="18.75" customHeight="1">
      <x:c r="A74" s="2"/>
      <x:c r="B74" s="2"/>
      <x:c r="C74" s="44" t="str">
        <x:v>Brand budget includes creative, media, samples and loyalty fulfilment. Avoid counting them again.</x:v>
      </x:c>
      <x:c r="D74" s="44"/>
      <x:c r="E74" s="44"/>
      <x:c r="F74" s="44"/>
      <x:c r="G74" s="44"/>
      <x:c r="H74" s="44"/>
      <x:c r="I74" s="2"/>
      <x:c r="J74" s="2"/>
      <x:c r="K74" s="2"/>
      <x:c r="L74" s="2"/>
    </x:row>
    <x:row r="75" ht="18.75" customHeight="1">
      <x:c r="A75" s="2"/>
      <x:c r="B75" s="2"/>
      <x:c r="C75" s="44" t="str">
        <x:v>Working capital uses 365 days; selling velocity uses the editable selling-day count.</x:v>
      </x:c>
      <x:c r="D75" s="44"/>
      <x:c r="E75" s="44"/>
      <x:c r="F75" s="44"/>
      <x:c r="G75" s="44"/>
      <x:c r="H75" s="44"/>
      <x:c r="I75" s="2"/>
      <x:c r="J75" s="2"/>
      <x:c r="K75" s="2"/>
      <x:c r="L75" s="2"/>
    </x:row>
    <x:row r="76" ht="18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</x:row>
    <x:row r="77" ht="18.75" customHeight="1">
      <x:c r="A77" s="2"/>
      <x:c r="B77" s="2"/>
      <x:c r="C77" s="2" t="str">
        <x:v>Planning inputs</x:v>
      </x:c>
      <x:c r="D77" s="44" t="str">
        <x:v>All prices, costs, outlets, velocity, capex and outdoor rates are assumptions. No supplier or media quotes supplied.</x:v>
      </x:c>
      <x:c r="E77" s="44"/>
      <x:c r="F77" s="44"/>
      <x:c r="G77" s="44"/>
      <x:c r="H77" s="44"/>
      <x:c r="I77" s="2"/>
      <x:c r="J77" s="2"/>
      <x:c r="K77" s="2"/>
      <x:c r="L77" s="2"/>
    </x:row>
    <x:row r="78" ht="18.75" customHeight="1">
      <x:c r="A78" s="2"/>
      <x:c r="B78" s="2"/>
      <x:c r="C78" s="2" t="str">
        <x:v>Pakistan tax reference</x:v>
      </x:c>
      <x:c r="D78" s="44" t="str">
        <x:v>https://www.fbr.gov.pk/Categ/federal-excise-federal-excise-act/346</x:v>
      </x:c>
      <x:c r="E78" s="44"/>
      <x:c r="F78" s="44"/>
      <x:c r="G78" s="44"/>
      <x:c r="H78" s="44"/>
      <x:c r="I78" s="2"/>
      <x:c r="J78" s="2"/>
      <x:c r="K78" s="2"/>
      <x:c r="L78" s="2"/>
    </x:row>
    <x:row r="79" ht="18.75" customHeight="1">
      <x:c r="A79" s="2"/>
      <x:c r="B79" s="2"/>
      <x:c r="C79" s="2" t="str">
        <x:v>UAE excise reference</x:v>
      </x:c>
      <x:c r="D79" s="44" t="str">
        <x:v>https://tax.gov.ae/en/content/extp013.implementation.of.a.tiered.volumetric.model.of.excise.tax.for.sweetened.drinks.aspx</x:v>
      </x:c>
      <x:c r="E79" s="44"/>
      <x:c r="F79" s="44"/>
      <x:c r="G79" s="44"/>
      <x:c r="H79" s="44"/>
      <x:c r="I79" s="2"/>
      <x:c r="J79" s="2"/>
      <x:c r="K79" s="2"/>
      <x:c r="L79" s="2"/>
    </x:row>
    <x:row r="80" ht="18.75" customHeight="1">
      <x:c r="A80" s="2"/>
      <x:c r="B80" s="2"/>
      <x:c r="C80" s="2" t="str">
        <x:v>EU label reference</x:v>
      </x:c>
      <x:c r="D80" s="44" t="str">
        <x:v>https://food.ec.europa.eu/food-safety/labelling-and-nutrition/food-information-consumers-legislation_en</x:v>
      </x:c>
      <x:c r="E80" s="44"/>
      <x:c r="F80" s="44"/>
      <x:c r="G80" s="44"/>
      <x:c r="H80" s="44"/>
      <x:c r="I80" s="2"/>
      <x:c r="J80" s="2"/>
      <x:c r="K80" s="2"/>
      <x:c r="L80" s="2"/>
    </x:row>
    <x:row r="81" ht="18.75" customHeight="1">
      <x:c r="A81" s="2"/>
      <x:c r="B81" s="2"/>
      <x:c r="C81" s="2" t="str">
        <x:v>FX basis</x:v>
      </x:c>
      <x:c r="D81" s="44" t="str">
        <x:v>USD forecast throughout. No spot-rate claim or FX conversion is embedded.</x:v>
      </x:c>
      <x:c r="E81" s="44"/>
      <x:c r="F81" s="44"/>
      <x:c r="G81" s="44"/>
      <x:c r="H81" s="44"/>
      <x:c r="I81" s="2"/>
      <x:c r="J81" s="2"/>
      <x:c r="K81" s="2"/>
      <x:c r="L81" s="2"/>
    </x:row>
    <x:row r="82" ht="18.75" customHeight="1">
      <x:c r="A82" s="2"/>
      <x:c r="B82" s="2"/>
      <x:c r="C82" s="2" t="str">
        <x:v>Source scope</x:v>
      </x:c>
      <x:c r="D82" s="44" t="str">
        <x:v>Official pages provide entry requirements context only. They do not validate commercial unit economics.</x:v>
      </x:c>
      <x:c r="E82" s="44"/>
      <x:c r="F82" s="44"/>
      <x:c r="G82" s="44"/>
      <x:c r="H82" s="44"/>
      <x:c r="I82" s="2"/>
      <x:c r="J82" s="2"/>
      <x:c r="K82" s="2"/>
      <x:c r="L82" s="2"/>
    </x:row>
    <x:row r="83" ht="18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</x:row>
  </x:sheetData>
  <x:dataValidations count="1">
    <x:dataValidation type="list" sqref="D5">
      <x:formula1>"1,2,3"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E8C69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42.5" hidden="0" customWidth="1"/>
    <x:col min="4" max="4" width="16.25" hidden="0" customWidth="1"/>
    <x:col min="5" max="5" width="16.25" hidden="0" customWidth="1"/>
    <x:col min="6" max="6" width="16.25" hidden="0" customWidth="1"/>
    <x:col min="7" max="7" width="16.25" hidden="0" customWidth="1"/>
    <x:col min="8" max="8" width="16.25" hidden="0" customWidth="1"/>
    <x:col min="9" max="9" width="3" hidden="0" customWidth="1"/>
    <x:col min="10" max="10" width="20" hidden="0" customWidth="1"/>
    <x:col min="11" max="11" width="20" hidden="0" customWidth="1"/>
    <x:col min="12" max="12" width="20" hidden="0" customWidth="1"/>
  </x:cols>
  <x:sheetData>
    <x:row r="1" ht="18.7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7" customHeight="1">
      <x:c r="A2" s="2"/>
      <x:c r="B2" s="2"/>
      <x:c r="C2" s="3" t="str">
        <x:v>JZK Cola / Pakistan outdoor rollout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18.75" customHeight="1">
      <x:c r="A3" s="2"/>
      <x:c r="B3" s="2"/>
      <x:c r="C3" s="5" t="str">
        <x:v>Planning allocations and assumed 4-week media costs. No placements booked.</x:v>
      </x:c>
      <x:c r="D3" s="4"/>
      <x:c r="E3" s="4"/>
      <x:c r="F3" s="4"/>
      <x:c r="G3" s="4"/>
      <x:c r="H3" s="4"/>
      <x:c r="I3" s="2"/>
      <x:c r="J3" s="2"/>
      <x:c r="K3" s="2"/>
      <x:c r="L3" s="2"/>
    </x:row>
    <x:row r="4" ht="18.7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18.75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</x:row>
    <x:row r="6" ht="18.7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7" customHeight="1">
      <x:c r="A7" s="2"/>
      <x:c r="B7" s="2"/>
      <x:c r="C7" s="68" t="str">
        <x:v>Media format</x:v>
      </x:c>
      <x:c r="D7" s="68" t="str">
        <x:v>Placements</x:v>
      </x:c>
      <x:c r="E7" s="68" t="str">
        <x:v>USD / placement</x:v>
      </x:c>
      <x:c r="F7" s="68" t="str">
        <x:v>Media cost</x:v>
      </x:c>
      <x:c r="G7" s="68" t="str">
        <x:v>Pilot placements</x:v>
      </x:c>
      <x:c r="H7" s="2"/>
      <x:c r="I7" s="2"/>
      <x:c r="J7" s="2"/>
      <x:c r="K7" s="2"/>
      <x:c r="L7" s="2"/>
    </x:row>
    <x:row r="8" ht="18.75" customHeight="1">
      <x:c r="A8" s="2"/>
      <x:c r="B8" s="2"/>
      <x:c r="C8" s="2" t="str">
        <x:v>Retail posters and frontage</x:v>
      </x:c>
      <x:c r="D8" s="25" t="n">
        <x:v>1800</x:v>
      </x:c>
      <x:c r="E8" s="39" t="n">
        <x:v>22</x:v>
      </x:c>
      <x:c r="F8" s="38" t="n">
        <x:f>D8*E8</x:f>
        <x:v>39600</x:v>
      </x:c>
      <x:c r="G8" s="24" t="n">
        <x:f>D8*$D$23</x:f>
        <x:v>90</x:v>
      </x:c>
      <x:c r="H8" s="2"/>
      <x:c r="I8" s="2"/>
      <x:c r="J8" s="2"/>
      <x:c r="K8" s="2"/>
      <x:c r="L8" s="2"/>
    </x:row>
    <x:row r="9" ht="18.75" customHeight="1">
      <x:c r="A9" s="2"/>
      <x:c r="B9" s="2"/>
      <x:c r="C9" s="2" t="str">
        <x:v>Licensed street posters</x:v>
      </x:c>
      <x:c r="D9" s="25" t="n">
        <x:v>600</x:v>
      </x:c>
      <x:c r="E9" s="39" t="n">
        <x:v>180</x:v>
      </x:c>
      <x:c r="F9" s="38" t="n">
        <x:f>D9*E9</x:f>
        <x:v>108000</x:v>
      </x:c>
      <x:c r="G9" s="24" t="n">
        <x:f>D9*$D$23</x:f>
        <x:v>30</x:v>
      </x:c>
      <x:c r="H9" s="2"/>
      <x:c r="I9" s="2"/>
      <x:c r="J9" s="2"/>
      <x:c r="K9" s="2"/>
      <x:c r="L9" s="2"/>
    </x:row>
    <x:row r="10" ht="18.75" customHeight="1">
      <x:c r="A10" s="2"/>
      <x:c r="B10" s="2"/>
      <x:c r="C10" s="2" t="str">
        <x:v>Transit shelters</x:v>
      </x:c>
      <x:c r="D10" s="25" t="n">
        <x:v>300</x:v>
      </x:c>
      <x:c r="E10" s="39" t="n">
        <x:v>350</x:v>
      </x:c>
      <x:c r="F10" s="38" t="n">
        <x:f>D10*E10</x:f>
        <x:v>105000</x:v>
      </x:c>
      <x:c r="G10" s="24" t="n">
        <x:f>D10*$D$23</x:f>
        <x:v>15</x:v>
      </x:c>
      <x:c r="H10" s="2"/>
      <x:c r="I10" s="2"/>
      <x:c r="J10" s="2"/>
      <x:c r="K10" s="2"/>
      <x:c r="L10" s="2"/>
    </x:row>
    <x:row r="11" ht="18.75" customHeight="1">
      <x:c r="A11" s="2"/>
      <x:c r="B11" s="2"/>
      <x:c r="C11" s="2" t="str">
        <x:v>Billboards including digital</x:v>
      </x:c>
      <x:c r="D11" s="25" t="n">
        <x:v>240</x:v>
      </x:c>
      <x:c r="E11" s="39" t="n">
        <x:v>2000</x:v>
      </x:c>
      <x:c r="F11" s="38" t="n">
        <x:f>D11*E11</x:f>
        <x:v>480000</x:v>
      </x:c>
      <x:c r="G11" s="24" t="n">
        <x:f>D11*$D$23</x:f>
        <x:v>12</x:v>
      </x:c>
      <x:c r="H11" s="2"/>
      <x:c r="I11" s="2"/>
      <x:c r="J11" s="2"/>
      <x:c r="K11" s="2"/>
      <x:c r="L11" s="2"/>
    </x:row>
    <x:row r="12" ht="18.75" customHeight="1">
      <x:c r="A12" s="2"/>
      <x:c r="B12" s="2"/>
      <x:c r="C12" s="2" t="str">
        <x:v>Building wraps</x:v>
      </x:c>
      <x:c r="D12" s="25" t="n">
        <x:v>60</x:v>
      </x:c>
      <x:c r="E12" s="39" t="n">
        <x:v>6000</x:v>
      </x:c>
      <x:c r="F12" s="38" t="n">
        <x:f>D12*E12</x:f>
        <x:v>360000</x:v>
      </x:c>
      <x:c r="G12" s="24" t="n">
        <x:f>D12*$D$23</x:f>
        <x:v>3</x:v>
      </x:c>
      <x:c r="H12" s="2"/>
      <x:c r="I12" s="2"/>
      <x:c r="J12" s="2"/>
      <x:c r="K12" s="2"/>
      <x:c r="L12" s="2"/>
    </x:row>
    <x:row r="13" ht="18.75" customHeight="1">
      <x:c r="A13" s="2"/>
      <x:c r="B13" s="2"/>
      <x:c r="C13" s="47" t="str">
        <x:v>Total</x:v>
      </x:c>
      <x:c r="D13" s="70" t="n">
        <x:f>SUM(D8:D12)</x:f>
        <x:v>3000</x:v>
      </x:c>
      <x:c r="E13" s="47"/>
      <x:c r="F13" s="71" t="n">
        <x:f>SUM(F8:F12)</x:f>
        <x:v>1092600</x:v>
      </x:c>
      <x:c r="G13" s="70" t="n">
        <x:f>SUM(G8:G12)</x:f>
        <x:v>150</x:v>
      </x:c>
      <x:c r="H13" s="2"/>
      <x:c r="I13" s="2"/>
      <x:c r="J13" s="2"/>
      <x:c r="K13" s="2"/>
      <x:c r="L13" s="2"/>
    </x:row>
    <x:row r="14" ht="18.7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18.75" customHeight="1">
      <x:c r="A15" s="2"/>
      <x:c r="B15" s="2"/>
      <x:c r="C15" s="2" t="str">
        <x:v>Creative and production</x:v>
      </x:c>
      <x:c r="D15" s="39" t="n">
        <x:v>60000</x:v>
      </x:c>
      <x:c r="E15" s="2"/>
      <x:c r="F15" s="2"/>
      <x:c r="G15" s="2"/>
      <x:c r="H15" s="2"/>
      <x:c r="I15" s="2"/>
      <x:c r="J15" s="2"/>
      <x:c r="K15" s="2"/>
      <x:c r="L15" s="2"/>
    </x:row>
    <x:row r="16" ht="18.75" customHeight="1">
      <x:c r="A16" s="2"/>
      <x:c r="B16" s="2"/>
      <x:c r="C16" s="2" t="str">
        <x:v>Measurement and verification</x:v>
      </x:c>
      <x:c r="D16" s="39" t="n">
        <x:v>15000</x:v>
      </x:c>
      <x:c r="E16" s="2"/>
      <x:c r="F16" s="2"/>
      <x:c r="G16" s="2"/>
      <x:c r="H16" s="2"/>
      <x:c r="I16" s="2"/>
      <x:c r="J16" s="2"/>
      <x:c r="K16" s="2"/>
      <x:c r="L16" s="2"/>
    </x:row>
    <x:row r="17" ht="18.75" customHeight="1">
      <x:c r="A17" s="2"/>
      <x:c r="B17" s="2"/>
      <x:c r="C17" s="2" t="str">
        <x:v>Full-wave subtotal</x:v>
      </x:c>
      <x:c r="D17" s="38" t="n">
        <x:f>SUM(F13,D15:D16)</x:f>
        <x:v>1167600</x:v>
      </x:c>
      <x:c r="E17" s="2"/>
      <x:c r="F17" s="2"/>
      <x:c r="G17" s="2"/>
      <x:c r="H17" s="2"/>
      <x:c r="I17" s="2"/>
      <x:c r="J17" s="2"/>
      <x:c r="K17" s="2"/>
      <x:c r="L17" s="2"/>
    </x:row>
    <x:row r="18" ht="18.75" customHeight="1">
      <x:c r="A18" s="2"/>
      <x:c r="B18" s="2"/>
      <x:c r="C18" s="2" t="str">
        <x:v>Contingency rate</x:v>
      </x:c>
      <x:c r="D18" s="37" t="n">
        <x:v>0.15</x:v>
      </x:c>
      <x:c r="E18" s="2"/>
      <x:c r="F18" s="2"/>
      <x:c r="G18" s="2"/>
      <x:c r="H18" s="2"/>
      <x:c r="I18" s="2"/>
      <x:c r="J18" s="2"/>
      <x:c r="K18" s="2"/>
      <x:c r="L18" s="2"/>
    </x:row>
    <x:row r="19" ht="18.75" customHeight="1">
      <x:c r="A19" s="2"/>
      <x:c r="B19" s="2"/>
      <x:c r="C19" s="12" t="str">
        <x:v>Full-wave budget including contingency</x:v>
      </x:c>
      <x:c r="D19" s="72" t="n">
        <x:f>D17*(1+D18)</x:f>
        <x:v>1342740</x:v>
      </x:c>
      <x:c r="E19" s="2"/>
      <x:c r="F19" s="2"/>
      <x:c r="G19" s="2"/>
      <x:c r="H19" s="2"/>
      <x:c r="I19" s="2"/>
      <x:c r="J19" s="2"/>
      <x:c r="K19" s="2"/>
      <x:c r="L19" s="2"/>
    </x:row>
    <x:row r="20" ht="18.7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18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18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18.75" customHeight="1">
      <x:c r="A23" s="2"/>
      <x:c r="B23" s="2"/>
      <x:c r="C23" s="2" t="str">
        <x:v>Pilot share of placement count</x:v>
      </x:c>
      <x:c r="D23" s="37" t="n">
        <x:v>0.05</x:v>
      </x:c>
      <x:c r="E23" s="2"/>
      <x:c r="F23" s="2"/>
      <x:c r="G23" s="2"/>
      <x:c r="H23" s="2"/>
      <x:c r="I23" s="2"/>
      <x:c r="J23" s="2"/>
      <x:c r="K23" s="2"/>
      <x:c r="L23" s="2"/>
    </x:row>
    <x:row r="24" ht="18.75" customHeight="1">
      <x:c r="A24" s="2"/>
      <x:c r="B24" s="2"/>
      <x:c r="C24" s="2" t="str">
        <x:v>Pilot measurement cost</x:v>
      </x:c>
      <x:c r="D24" s="39" t="n">
        <x:v>7500</x:v>
      </x:c>
      <x:c r="E24" s="2"/>
      <x:c r="F24" s="2"/>
      <x:c r="G24" s="2"/>
      <x:c r="H24" s="2"/>
      <x:c r="I24" s="2"/>
      <x:c r="J24" s="2"/>
      <x:c r="K24" s="2"/>
      <x:c r="L24" s="2"/>
    </x:row>
    <x:row r="25" ht="18.75" customHeight="1">
      <x:c r="A25" s="2"/>
      <x:c r="B25" s="2"/>
      <x:c r="C25" s="2" t="str">
        <x:v>Pilot budget including creative</x:v>
      </x:c>
      <x:c r="D25" s="38" t="n">
        <x:f>(F13*D23+D15+D24)*(1+D18)</x:f>
        <x:v>140449.5</x:v>
      </x:c>
      <x:c r="E25" s="2"/>
      <x:c r="F25" s="2"/>
      <x:c r="G25" s="2"/>
      <x:c r="H25" s="2"/>
      <x:c r="I25" s="2"/>
      <x:c r="J25" s="2"/>
      <x:c r="K25" s="2"/>
      <x:c r="L25" s="2"/>
    </x:row>
    <x:row r="26" ht="18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18.75" customHeight="1">
      <x:c r="A27" s="2"/>
      <x:c r="B27" s="2"/>
      <x:c r="C27" s="2" t="str">
        <x:v>City allocation for the full wave</x:v>
      </x:c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18.75" customHeight="1">
      <x:c r="A28" s="2"/>
      <x:c r="B28" s="2"/>
      <x:c r="C28" s="74" t="str">
        <x:v>City</x:v>
      </x:c>
      <x:c r="D28" s="74" t="str">
        <x:v>Share</x:v>
      </x:c>
      <x:c r="E28" s="74" t="str">
        <x:v>Placements</x:v>
      </x:c>
      <x:c r="F28" s="2"/>
      <x:c r="G28" s="2"/>
      <x:c r="H28" s="2"/>
      <x:c r="I28" s="2"/>
      <x:c r="J28" s="2"/>
      <x:c r="K28" s="2"/>
      <x:c r="L28" s="2"/>
    </x:row>
    <x:row r="29" ht="18.75" customHeight="1">
      <x:c r="A29" s="2"/>
      <x:c r="B29" s="2"/>
      <x:c r="C29" s="2" t="str">
        <x:v>Karachi</x:v>
      </x:c>
      <x:c r="D29" s="37" t="n">
        <x:v>0.27</x:v>
      </x:c>
      <x:c r="E29" s="24" t="n">
        <x:f>D29*$D$13</x:f>
        <x:v>810</x:v>
      </x:c>
      <x:c r="F29" s="2"/>
      <x:c r="G29" s="2"/>
      <x:c r="H29" s="2"/>
      <x:c r="I29" s="2"/>
      <x:c r="J29" s="2"/>
      <x:c r="K29" s="2"/>
      <x:c r="L29" s="2"/>
    </x:row>
    <x:row r="30" ht="18.75" customHeight="1">
      <x:c r="A30" s="2"/>
      <x:c r="B30" s="2"/>
      <x:c r="C30" s="2" t="str">
        <x:v>Lahore</x:v>
      </x:c>
      <x:c r="D30" s="37" t="n">
        <x:v>0.23</x:v>
      </x:c>
      <x:c r="E30" s="24" t="n">
        <x:f>D30*$D$13</x:f>
        <x:v>690</x:v>
      </x:c>
      <x:c r="F30" s="2"/>
      <x:c r="G30" s="2"/>
      <x:c r="H30" s="2"/>
      <x:c r="I30" s="2"/>
      <x:c r="J30" s="2"/>
      <x:c r="K30" s="2"/>
      <x:c r="L30" s="2"/>
    </x:row>
    <x:row r="31" ht="18.75" customHeight="1">
      <x:c r="A31" s="2"/>
      <x:c r="B31" s="2"/>
      <x:c r="C31" s="2" t="str">
        <x:v>Islamabad</x:v>
      </x:c>
      <x:c r="D31" s="37" t="n">
        <x:v>0.1</x:v>
      </x:c>
      <x:c r="E31" s="24" t="n">
        <x:f>D31*$D$13</x:f>
        <x:v>300</x:v>
      </x:c>
      <x:c r="F31" s="2"/>
      <x:c r="G31" s="2"/>
      <x:c r="H31" s="2"/>
      <x:c r="I31" s="2"/>
      <x:c r="J31" s="2"/>
      <x:c r="K31" s="2"/>
      <x:c r="L31" s="2"/>
    </x:row>
    <x:row r="32" ht="18.75" customHeight="1">
      <x:c r="A32" s="2"/>
      <x:c r="B32" s="2"/>
      <x:c r="C32" s="2" t="str">
        <x:v>Rawalpindi</x:v>
      </x:c>
      <x:c r="D32" s="37" t="n">
        <x:v>0.08</x:v>
      </x:c>
      <x:c r="E32" s="24" t="n">
        <x:f>D32*$D$13</x:f>
        <x:v>240</x:v>
      </x:c>
      <x:c r="F32" s="2"/>
      <x:c r="G32" s="2"/>
      <x:c r="H32" s="2"/>
      <x:c r="I32" s="2"/>
      <x:c r="J32" s="2"/>
      <x:c r="K32" s="2"/>
      <x:c r="L32" s="2"/>
    </x:row>
    <x:row r="33" ht="18.75" customHeight="1">
      <x:c r="A33" s="2"/>
      <x:c r="B33" s="2"/>
      <x:c r="C33" s="2" t="str">
        <x:v>Faisalabad</x:v>
      </x:c>
      <x:c r="D33" s="37" t="n">
        <x:v>0.08</x:v>
      </x:c>
      <x:c r="E33" s="24" t="n">
        <x:f>D33*$D$13</x:f>
        <x:v>240</x:v>
      </x:c>
      <x:c r="F33" s="2"/>
      <x:c r="G33" s="2"/>
      <x:c r="H33" s="2"/>
      <x:c r="I33" s="2"/>
      <x:c r="J33" s="2"/>
      <x:c r="K33" s="2"/>
      <x:c r="L33" s="2"/>
    </x:row>
    <x:row r="34" ht="18.75" customHeight="1">
      <x:c r="A34" s="2"/>
      <x:c r="B34" s="2"/>
      <x:c r="C34" s="2" t="str">
        <x:v>Multan</x:v>
      </x:c>
      <x:c r="D34" s="37" t="n">
        <x:v>0.06</x:v>
      </x:c>
      <x:c r="E34" s="24" t="n">
        <x:f>D34*$D$13</x:f>
        <x:v>180</x:v>
      </x:c>
      <x:c r="F34" s="2"/>
      <x:c r="G34" s="2"/>
      <x:c r="H34" s="2"/>
      <x:c r="I34" s="2"/>
      <x:c r="J34" s="2"/>
      <x:c r="K34" s="2"/>
      <x:c r="L34" s="2"/>
    </x:row>
    <x:row r="35" ht="18.75" customHeight="1">
      <x:c r="A35" s="2"/>
      <x:c r="B35" s="2"/>
      <x:c r="C35" s="2" t="str">
        <x:v>Peshawar</x:v>
      </x:c>
      <x:c r="D35" s="37" t="n">
        <x:v>0.06</x:v>
      </x:c>
      <x:c r="E35" s="24" t="n">
        <x:f>D35*$D$13</x:f>
        <x:v>180</x:v>
      </x:c>
      <x:c r="F35" s="2"/>
      <x:c r="G35" s="2"/>
      <x:c r="H35" s="2"/>
      <x:c r="I35" s="2"/>
      <x:c r="J35" s="2"/>
      <x:c r="K35" s="2"/>
      <x:c r="L35" s="2"/>
    </x:row>
    <x:row r="36" ht="18.75" customHeight="1">
      <x:c r="A36" s="2"/>
      <x:c r="B36" s="2"/>
      <x:c r="C36" s="2" t="str">
        <x:v>Gujranwala</x:v>
      </x:c>
      <x:c r="D36" s="37" t="n">
        <x:v>0.05</x:v>
      </x:c>
      <x:c r="E36" s="24" t="n">
        <x:f>D36*$D$13</x:f>
        <x:v>150</x:v>
      </x:c>
      <x:c r="F36" s="2"/>
      <x:c r="G36" s="2"/>
      <x:c r="H36" s="2"/>
      <x:c r="I36" s="2"/>
      <x:c r="J36" s="2"/>
      <x:c r="K36" s="2"/>
      <x:c r="L36" s="2"/>
    </x:row>
    <x:row r="37" ht="18.75" customHeight="1">
      <x:c r="A37" s="2"/>
      <x:c r="B37" s="2"/>
      <x:c r="C37" s="2" t="str">
        <x:v>Sialkot</x:v>
      </x:c>
      <x:c r="D37" s="37" t="n">
        <x:v>0.04</x:v>
      </x:c>
      <x:c r="E37" s="24" t="n">
        <x:f>D37*$D$13</x:f>
        <x:v>120</x:v>
      </x:c>
      <x:c r="F37" s="2"/>
      <x:c r="G37" s="2"/>
      <x:c r="H37" s="2"/>
      <x:c r="I37" s="2"/>
      <x:c r="J37" s="2"/>
      <x:c r="K37" s="2"/>
      <x:c r="L37" s="2"/>
    </x:row>
    <x:row r="38" ht="18.75" customHeight="1">
      <x:c r="A38" s="2"/>
      <x:c r="B38" s="2"/>
      <x:c r="C38" s="2" t="str">
        <x:v>Hyderabad</x:v>
      </x:c>
      <x:c r="D38" s="37" t="n">
        <x:v>0.03</x:v>
      </x:c>
      <x:c r="E38" s="24" t="n">
        <x:f>D38*$D$13</x:f>
        <x:v>90</x:v>
      </x:c>
      <x:c r="F38" s="2"/>
      <x:c r="G38" s="2"/>
      <x:c r="H38" s="2"/>
      <x:c r="I38" s="2"/>
      <x:c r="J38" s="2"/>
      <x:c r="K38" s="2"/>
      <x:c r="L38" s="2"/>
    </x:row>
    <x:row r="39" ht="18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18.75" customHeight="1">
      <x:c r="A40" s="2"/>
      <x:c r="B40" s="2"/>
      <x:c r="C40" s="44" t="str">
        <x:v>Media rollout follows cold availability, weekly sell-through and repeat purchase.</x:v>
      </x:c>
      <x:c r="D40" s="44"/>
      <x:c r="E40" s="44"/>
      <x:c r="F40" s="44"/>
      <x:c r="G40" s="44"/>
      <x:c r="H40" s="44"/>
      <x:c r="I40" s="2"/>
      <x:c r="J40" s="2"/>
      <x:c r="K40" s="2"/>
      <x:c r="L40" s="2"/>
    </x:row>
    <x:row r="41" ht="18.75" customHeight="1">
      <x:c r="A41" s="2"/>
      <x:c r="B41" s="2"/>
      <x:c r="C41" s="44" t="str">
        <x:v>This budget sits inside brand marketing expense; it is not added to the P&amp;L a second time.</x:v>
      </x:c>
      <x:c r="D41" s="44"/>
      <x:c r="E41" s="44"/>
      <x:c r="F41" s="44"/>
      <x:c r="G41" s="44"/>
      <x:c r="H41" s="44"/>
      <x:c r="I41" s="2"/>
      <x:c r="J41" s="2"/>
      <x:c r="K41" s="2"/>
      <x:c r="L41" s="2"/>
    </x:row>
    <x:row r="42" ht="18.75" customHeight="1">
      <x:c r="A42" s="2"/>
      <x:c r="B42" s="2"/>
      <x:c r="C42" s="44" t="str">
        <x:v>Rate source: planning estimates dated 2 Nov 2026, excluding recoverable taxes. Obtain local vendor quotes.</x:v>
      </x:c>
      <x:c r="D42" s="44"/>
      <x:c r="E42" s="44"/>
      <x:c r="F42" s="44"/>
      <x:c r="G42" s="44"/>
      <x:c r="H42" s="44"/>
      <x:c r="I42" s="2"/>
      <x:c r="J42" s="2"/>
      <x:c r="K42" s="2"/>
      <x:c r="L42" s="2"/>
    </x:row>
    <x:row r="43" ht="18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</x:sheetData>
  <x:pageMargins left="0.7" right="0.7" top="0.75" bottom="0.75" header="0.3" footer="0.3"/>
</x:worksheet>
</file>